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108e7bf95153d904/Documents/debbie/haslemere Parish/Link2024/town CIL/"/>
    </mc:Choice>
  </mc:AlternateContent>
  <xr:revisionPtr revIDLastSave="0" documentId="8_{CD1E1146-C87A-4842-9F04-8B27939B8AA7}" xr6:coauthVersionLast="47" xr6:coauthVersionMax="47" xr10:uidLastSave="{00000000-0000-0000-0000-000000000000}"/>
  <bookViews>
    <workbookView xWindow="7932" yWindow="2784" windowWidth="12528" windowHeight="9456" tabRatio="934" xr2:uid="{00000000-000D-0000-FFFF-FFFF00000000}"/>
  </bookViews>
  <sheets>
    <sheet name="SUMMARY " sheetId="3" r:id="rId1"/>
    <sheet name="Dems and Alts" sheetId="24" r:id="rId2"/>
    <sheet name="Repairs" sheetId="25" r:id="rId3"/>
    <sheet name="substructure" sheetId="6" r:id="rId4"/>
    <sheet name="frame" sheetId="7" r:id="rId5"/>
    <sheet name="upper floors" sheetId="8" r:id="rId6"/>
    <sheet name="roof" sheetId="9" r:id="rId7"/>
    <sheet name="staircases" sheetId="10" r:id="rId8"/>
    <sheet name="ext walls" sheetId="11" r:id="rId9"/>
    <sheet name="wdws &amp; extl drs" sheetId="12" r:id="rId10"/>
    <sheet name="int walls" sheetId="13" r:id="rId11"/>
    <sheet name="Int doors" sheetId="14" r:id="rId12"/>
    <sheet name="wall finishes" sheetId="15" r:id="rId13"/>
    <sheet name="floor finishes" sheetId="16" r:id="rId14"/>
    <sheet name="ceiling finishes" sheetId="17" r:id="rId15"/>
    <sheet name="Decorations" sheetId="33" r:id="rId16"/>
    <sheet name="fittings" sheetId="18" r:id="rId17"/>
    <sheet name="sanitary" sheetId="19" r:id="rId18"/>
    <sheet name="mech" sheetId="20" r:id="rId19"/>
    <sheet name="elec" sheetId="21" r:id="rId20"/>
    <sheet name="Lifts" sheetId="36" r:id="rId21"/>
    <sheet name="bwic" sheetId="23" r:id="rId22"/>
    <sheet name="Incoming Services" sheetId="32" r:id="rId23"/>
    <sheet name="Ext Wks" sheetId="26" r:id="rId24"/>
    <sheet name="Access" sheetId="31" r:id="rId25"/>
  </sheets>
  <definedNames>
    <definedName name="_xlnm.Print_Area" localSheetId="14">'ceiling finishes'!$A$1:$F$12</definedName>
    <definedName name="_xlnm.Print_Area" localSheetId="1">'Dems and Alts'!$A$1:$F$73</definedName>
    <definedName name="_xlnm.Print_Area" localSheetId="19">elec!$A$1:$F$35</definedName>
    <definedName name="_xlnm.Print_Area" localSheetId="8">'ext walls'!$A$1:$F$18</definedName>
    <definedName name="_xlnm.Print_Area" localSheetId="23">'Ext Wks'!$A$1:$F$49</definedName>
    <definedName name="_xlnm.Print_Area" localSheetId="16">fittings!$A$1:$F$21</definedName>
    <definedName name="_xlnm.Print_Area" localSheetId="13">'floor finishes'!$A$1:$F$40</definedName>
    <definedName name="_xlnm.Print_Area" localSheetId="4">frame!$A$1:$F$15</definedName>
    <definedName name="_xlnm.Print_Area" localSheetId="11">'Int doors'!$A$1:$F$16</definedName>
    <definedName name="_xlnm.Print_Area" localSheetId="10">'int walls'!$A$1:$F$22</definedName>
    <definedName name="_xlnm.Print_Area" localSheetId="18">mech!$A$1:$F$29</definedName>
    <definedName name="_xlnm.Print_Area" localSheetId="2">Repairs!$A$1:$F$11</definedName>
    <definedName name="_xlnm.Print_Area" localSheetId="6">roof!$A$1:$F$78</definedName>
    <definedName name="_xlnm.Print_Area" localSheetId="17">sanitary!$A$1:$F$24</definedName>
    <definedName name="_xlnm.Print_Area" localSheetId="7">staircases!$A$1:$F$9</definedName>
    <definedName name="_xlnm.Print_Area" localSheetId="3">substructure!$A$1:$F$30</definedName>
    <definedName name="_xlnm.Print_Area" localSheetId="0">'SUMMARY '!$A$1:$I$73</definedName>
    <definedName name="_xlnm.Print_Area" localSheetId="5">'upper floors'!$A$1:$F$10</definedName>
    <definedName name="_xlnm.Print_Area" localSheetId="12">'wall finishes'!$A$1:$F$16</definedName>
    <definedName name="_xlnm.Print_Area" localSheetId="9">'wdws &amp; extl drs'!$A$1:$F$50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3" l="1"/>
  <c r="F56" i="3"/>
  <c r="F54" i="3"/>
  <c r="C8" i="26"/>
  <c r="C18" i="26"/>
  <c r="C14" i="26"/>
  <c r="C12" i="26"/>
  <c r="C10" i="26"/>
  <c r="C6" i="26"/>
  <c r="F65" i="24" l="1"/>
  <c r="C44" i="26"/>
  <c r="F44" i="26" s="1"/>
  <c r="F46" i="26"/>
  <c r="C42" i="26"/>
  <c r="F42" i="26" s="1"/>
  <c r="F40" i="26"/>
  <c r="F36" i="26" l="1"/>
  <c r="F38" i="26"/>
  <c r="E36" i="24"/>
  <c r="F6" i="18"/>
  <c r="F32" i="26"/>
  <c r="F34" i="12"/>
  <c r="F63" i="24"/>
  <c r="F61" i="24"/>
  <c r="C39" i="24"/>
  <c r="F57" i="24" l="1"/>
  <c r="F59" i="24"/>
  <c r="F55" i="24"/>
  <c r="F53" i="24"/>
  <c r="F51" i="24"/>
  <c r="F9" i="7"/>
  <c r="E38" i="9"/>
  <c r="F38" i="9" s="1"/>
  <c r="C38" i="9"/>
  <c r="F26" i="6"/>
  <c r="C32" i="24"/>
  <c r="F32" i="24" s="1"/>
  <c r="F10" i="24"/>
  <c r="F30" i="24"/>
  <c r="F28" i="24"/>
  <c r="F24" i="24"/>
  <c r="F20" i="24"/>
  <c r="F18" i="24"/>
  <c r="F16" i="24"/>
  <c r="F14" i="24"/>
  <c r="F8" i="24"/>
  <c r="F22" i="24"/>
  <c r="C46" i="24"/>
  <c r="F46" i="24" s="1"/>
  <c r="F47" i="24"/>
  <c r="C45" i="24"/>
  <c r="F45" i="24" s="1"/>
  <c r="F36" i="24"/>
  <c r="F43" i="24"/>
  <c r="C42" i="24"/>
  <c r="F42" i="24" s="1"/>
  <c r="C41" i="24"/>
  <c r="F41" i="24" s="1"/>
  <c r="F39" i="24"/>
  <c r="F37" i="24"/>
  <c r="C21" i="6" l="1"/>
  <c r="C20" i="6"/>
  <c r="C19" i="6"/>
  <c r="C18" i="6"/>
  <c r="C17" i="6"/>
  <c r="C16" i="6"/>
  <c r="C15" i="6"/>
  <c r="C14" i="6"/>
  <c r="C13" i="6"/>
  <c r="C12" i="6"/>
  <c r="C10" i="6"/>
  <c r="C8" i="6"/>
  <c r="C6" i="6"/>
  <c r="F8" i="36"/>
  <c r="F5" i="36"/>
  <c r="F11" i="7"/>
  <c r="C4" i="7"/>
  <c r="C5" i="7"/>
  <c r="F5" i="7" s="1"/>
  <c r="F7" i="7"/>
  <c r="F4" i="8" l="1"/>
  <c r="F9" i="8" s="1"/>
  <c r="C74" i="9"/>
  <c r="F74" i="9"/>
  <c r="E73" i="9"/>
  <c r="F73" i="9" s="1"/>
  <c r="E67" i="9"/>
  <c r="F67" i="9" s="1"/>
  <c r="E61" i="9"/>
  <c r="C69" i="9"/>
  <c r="F69" i="9" s="1"/>
  <c r="F68" i="9"/>
  <c r="C63" i="9"/>
  <c r="F50" i="9"/>
  <c r="F51" i="9"/>
  <c r="C49" i="9"/>
  <c r="F49" i="9" s="1"/>
  <c r="E55" i="9"/>
  <c r="E53" i="9"/>
  <c r="F28" i="9"/>
  <c r="F32" i="9"/>
  <c r="E8" i="9"/>
  <c r="E34" i="9"/>
  <c r="F34" i="9" s="1"/>
  <c r="C45" i="9"/>
  <c r="F45" i="9" s="1"/>
  <c r="C36" i="9"/>
  <c r="F36" i="9" s="1"/>
  <c r="C35" i="9"/>
  <c r="C10" i="9"/>
  <c r="C16" i="9"/>
  <c r="E40" i="9"/>
  <c r="C40" i="9"/>
  <c r="C15" i="9"/>
  <c r="E42" i="9"/>
  <c r="C42" i="9"/>
  <c r="F35" i="9"/>
  <c r="F43" i="9"/>
  <c r="C26" i="9"/>
  <c r="C22" i="9"/>
  <c r="F22" i="9" s="1"/>
  <c r="C24" i="9"/>
  <c r="F13" i="11"/>
  <c r="F20" i="9"/>
  <c r="C12" i="9"/>
  <c r="C11" i="9"/>
  <c r="C9" i="9"/>
  <c r="C8" i="33"/>
  <c r="F8" i="33"/>
  <c r="C7" i="33"/>
  <c r="F7" i="33" s="1"/>
  <c r="E18" i="9"/>
  <c r="C19" i="9"/>
  <c r="F19" i="9" s="1"/>
  <c r="C18" i="9"/>
  <c r="E15" i="9"/>
  <c r="F30" i="26"/>
  <c r="F42" i="9" l="1"/>
  <c r="F40" i="9"/>
  <c r="F18" i="9"/>
  <c r="F16" i="9"/>
  <c r="E4" i="11"/>
  <c r="F15" i="11"/>
  <c r="C6" i="11"/>
  <c r="F6" i="11" s="1"/>
  <c r="E10" i="11"/>
  <c r="C11" i="11"/>
  <c r="F11" i="11" s="1"/>
  <c r="C10" i="11"/>
  <c r="F10" i="11" s="1"/>
  <c r="C16" i="13"/>
  <c r="F16" i="13" s="1"/>
  <c r="E15" i="13"/>
  <c r="C15" i="13"/>
  <c r="C8" i="11"/>
  <c r="F8" i="11" s="1"/>
  <c r="C4" i="11"/>
  <c r="F7" i="13"/>
  <c r="C5" i="13"/>
  <c r="C13" i="13"/>
  <c r="F13" i="13" s="1"/>
  <c r="C10" i="13"/>
  <c r="E13" i="13"/>
  <c r="E5" i="13"/>
  <c r="E10" i="13"/>
  <c r="F18" i="13"/>
  <c r="E32" i="12"/>
  <c r="F32" i="12" s="1"/>
  <c r="F7" i="12"/>
  <c r="F15" i="13" l="1"/>
  <c r="F10" i="13"/>
  <c r="E42" i="12"/>
  <c r="C12" i="12"/>
  <c r="F12" i="12" s="1"/>
  <c r="C13" i="12"/>
  <c r="C30" i="12"/>
  <c r="F30" i="12" s="1"/>
  <c r="F29" i="12"/>
  <c r="C28" i="12"/>
  <c r="F28" i="12" s="1"/>
  <c r="F25" i="12"/>
  <c r="F24" i="12"/>
  <c r="F23" i="12"/>
  <c r="C18" i="12"/>
  <c r="F20" i="12"/>
  <c r="F19" i="12"/>
  <c r="F14" i="12"/>
  <c r="F18" i="12"/>
  <c r="F13" i="12"/>
  <c r="C11" i="12"/>
  <c r="F11" i="12" s="1"/>
  <c r="E44" i="12"/>
  <c r="F44" i="12" s="1"/>
  <c r="C17" i="12"/>
  <c r="F17" i="12" s="1"/>
  <c r="F40" i="12"/>
  <c r="F46" i="12"/>
  <c r="C4" i="14"/>
  <c r="F42" i="12"/>
  <c r="F10" i="14"/>
  <c r="E8" i="14"/>
  <c r="F8" i="14" l="1"/>
  <c r="F6" i="25" l="1"/>
  <c r="C13" i="15"/>
  <c r="C5" i="15"/>
  <c r="F5" i="15" s="1"/>
  <c r="C8" i="15"/>
  <c r="F8" i="15" s="1"/>
  <c r="C7" i="15"/>
  <c r="C6" i="15"/>
  <c r="C9" i="15"/>
  <c r="F9" i="15" s="1"/>
  <c r="F7" i="15"/>
  <c r="E7" i="15"/>
  <c r="E8" i="15"/>
  <c r="E9" i="15"/>
  <c r="C11" i="15"/>
  <c r="E20" i="16"/>
  <c r="E21" i="16"/>
  <c r="F21" i="16" s="1"/>
  <c r="E5" i="15"/>
  <c r="E6" i="15"/>
  <c r="C9" i="17"/>
  <c r="F9" i="17"/>
  <c r="C7" i="17"/>
  <c r="F7" i="17" s="1"/>
  <c r="C6" i="17"/>
  <c r="E6" i="17"/>
  <c r="E4" i="17"/>
  <c r="F4" i="17" s="1"/>
  <c r="F6" i="10"/>
  <c r="F4" i="25"/>
  <c r="F29" i="16"/>
  <c r="F28" i="16"/>
  <c r="F27" i="16"/>
  <c r="F20" i="16"/>
  <c r="F26" i="16"/>
  <c r="F25" i="16"/>
  <c r="E19" i="16"/>
  <c r="E18" i="16"/>
  <c r="F18" i="16" s="1"/>
  <c r="E17" i="16"/>
  <c r="F17" i="16" s="1"/>
  <c r="E16" i="16"/>
  <c r="F16" i="16" s="1"/>
  <c r="E15" i="16"/>
  <c r="C37" i="16"/>
  <c r="F37" i="16" s="1"/>
  <c r="C36" i="16"/>
  <c r="C19" i="16"/>
  <c r="E7" i="16"/>
  <c r="C7" i="16"/>
  <c r="F6" i="15" l="1"/>
  <c r="F19" i="16"/>
  <c r="F6" i="17"/>
  <c r="F7" i="16"/>
  <c r="C6" i="31"/>
  <c r="C4" i="31"/>
  <c r="E24" i="21"/>
  <c r="F24" i="21"/>
  <c r="F28" i="21"/>
  <c r="F26" i="26"/>
  <c r="F10" i="20"/>
  <c r="E9" i="20"/>
  <c r="F8" i="20"/>
  <c r="F26" i="21"/>
  <c r="E22" i="20" l="1"/>
  <c r="E12" i="19"/>
  <c r="F12" i="19"/>
  <c r="F10" i="19"/>
  <c r="C10" i="18"/>
  <c r="F10" i="18"/>
  <c r="F14" i="18"/>
  <c r="F9" i="18"/>
  <c r="E8" i="19"/>
  <c r="F8" i="19" s="1"/>
  <c r="E6" i="19"/>
  <c r="F6" i="19"/>
  <c r="C11" i="18"/>
  <c r="F11" i="18" s="1"/>
  <c r="F17" i="18"/>
  <c r="E24" i="26"/>
  <c r="C24" i="26"/>
  <c r="F28" i="26"/>
  <c r="F20" i="26"/>
  <c r="F12" i="26"/>
  <c r="F14" i="36"/>
  <c r="F7" i="36"/>
  <c r="F11" i="36"/>
  <c r="F10" i="36"/>
  <c r="F9" i="36"/>
  <c r="F6" i="36"/>
  <c r="F4" i="36"/>
  <c r="F18" i="26"/>
  <c r="F16" i="26"/>
  <c r="F14" i="26"/>
  <c r="F10" i="26"/>
  <c r="F8" i="26"/>
  <c r="C22" i="26"/>
  <c r="F22" i="26" s="1"/>
  <c r="F6" i="26"/>
  <c r="F24" i="26" l="1"/>
  <c r="F12" i="36"/>
  <c r="F30" i="3" s="1"/>
  <c r="H30" i="3" l="1"/>
  <c r="H10" i="3"/>
  <c r="I30" i="3" s="1"/>
  <c r="F13" i="15" l="1"/>
  <c r="F16" i="19"/>
  <c r="F8" i="25"/>
  <c r="F4" i="7"/>
  <c r="F14" i="7" s="1"/>
  <c r="F4" i="33"/>
  <c r="F5" i="33"/>
  <c r="F30" i="21"/>
  <c r="F29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18" i="20"/>
  <c r="F5" i="20"/>
  <c r="F7" i="20"/>
  <c r="F9" i="20"/>
  <c r="F11" i="20"/>
  <c r="F13" i="20"/>
  <c r="F14" i="20"/>
  <c r="F15" i="20"/>
  <c r="F16" i="20"/>
  <c r="F17" i="20"/>
  <c r="F19" i="20"/>
  <c r="F20" i="20"/>
  <c r="F21" i="20"/>
  <c r="F22" i="20"/>
  <c r="F23" i="20"/>
  <c r="F24" i="20"/>
  <c r="F4" i="20"/>
  <c r="F6" i="20"/>
  <c r="F12" i="20"/>
  <c r="F10" i="33" l="1"/>
  <c r="F27" i="20"/>
  <c r="F25" i="3" l="1"/>
  <c r="H25" i="3" s="1"/>
  <c r="I25" i="3" l="1"/>
  <c r="F38" i="12"/>
  <c r="F6" i="12"/>
  <c r="F49" i="12" s="1"/>
  <c r="F63" i="9"/>
  <c r="F62" i="9"/>
  <c r="F5" i="11"/>
  <c r="F4" i="11"/>
  <c r="F21" i="6"/>
  <c r="F10" i="6"/>
  <c r="F19" i="6"/>
  <c r="F18" i="6"/>
  <c r="F17" i="6"/>
  <c r="F16" i="6"/>
  <c r="F15" i="6"/>
  <c r="F14" i="6"/>
  <c r="F20" i="6"/>
  <c r="F12" i="6"/>
  <c r="F61" i="9" l="1"/>
  <c r="F17" i="11"/>
  <c r="F13" i="6"/>
  <c r="F6" i="6" l="1"/>
  <c r="F11" i="15"/>
  <c r="F36" i="16"/>
  <c r="F33" i="16"/>
  <c r="F31" i="16"/>
  <c r="F24" i="16"/>
  <c r="F11" i="16"/>
  <c r="E6" i="16"/>
  <c r="F6" i="16" s="1"/>
  <c r="E5" i="16"/>
  <c r="F5" i="16" s="1"/>
  <c r="F8" i="6" l="1"/>
  <c r="F5" i="13"/>
  <c r="F14" i="19"/>
  <c r="F15" i="18" l="1"/>
  <c r="F12" i="18"/>
  <c r="F13" i="18"/>
  <c r="F9" i="32" l="1"/>
  <c r="F5" i="32"/>
  <c r="F4" i="32"/>
  <c r="F3" i="32"/>
  <c r="F2" i="32"/>
  <c r="F10" i="31"/>
  <c r="F26" i="9"/>
  <c r="F11" i="9"/>
  <c r="F13" i="9"/>
  <c r="F12" i="9"/>
  <c r="F10" i="9"/>
  <c r="F9" i="9"/>
  <c r="F15" i="9"/>
  <c r="E6" i="9"/>
  <c r="F7" i="32" l="1"/>
  <c r="F37" i="3" s="1"/>
  <c r="I37" i="3" s="1"/>
  <c r="F24" i="9"/>
  <c r="F6" i="9"/>
  <c r="F69" i="24"/>
  <c r="F12" i="16" l="1"/>
  <c r="F15" i="16"/>
  <c r="F10" i="16"/>
  <c r="F6" i="24" l="1"/>
  <c r="F29" i="6" l="1"/>
  <c r="F18" i="18" l="1"/>
  <c r="F47" i="26" l="1"/>
  <c r="F48" i="26" s="1"/>
  <c r="F36" i="3" s="1"/>
  <c r="F7" i="19"/>
  <c r="F9" i="19"/>
  <c r="F11" i="19"/>
  <c r="F38" i="16"/>
  <c r="F39" i="16" s="1"/>
  <c r="F20" i="13"/>
  <c r="F21" i="13" s="1"/>
  <c r="F9" i="25" l="1"/>
  <c r="F10" i="25" s="1"/>
  <c r="F5" i="31"/>
  <c r="F6" i="31"/>
  <c r="F7" i="31"/>
  <c r="F8" i="31"/>
  <c r="F4" i="31"/>
  <c r="F4" i="18"/>
  <c r="F7" i="18"/>
  <c r="F11" i="31" l="1"/>
  <c r="F12" i="31" l="1"/>
  <c r="F38" i="3" l="1"/>
  <c r="I38" i="3" s="1"/>
  <c r="H38" i="3"/>
  <c r="F73" i="24"/>
  <c r="F71" i="24"/>
  <c r="F72" i="24" s="1"/>
  <c r="F10" i="23"/>
  <c r="F6" i="23"/>
  <c r="F34" i="21"/>
  <c r="F31" i="21"/>
  <c r="F32" i="21" s="1"/>
  <c r="E5" i="23" s="1"/>
  <c r="F28" i="20"/>
  <c r="F3" i="20"/>
  <c r="F2" i="20"/>
  <c r="F23" i="19"/>
  <c r="F22" i="19"/>
  <c r="F17" i="19"/>
  <c r="F5" i="19"/>
  <c r="F4" i="19"/>
  <c r="F12" i="17"/>
  <c r="F11" i="17"/>
  <c r="F14" i="15"/>
  <c r="F15" i="15" s="1"/>
  <c r="F16" i="14"/>
  <c r="F12" i="14"/>
  <c r="F11" i="14"/>
  <c r="F6" i="14"/>
  <c r="F4" i="14"/>
  <c r="F4" i="10"/>
  <c r="F8" i="10" s="1"/>
  <c r="F8" i="9"/>
  <c r="F77" i="9" s="1"/>
  <c r="F16" i="3" s="1"/>
  <c r="F14" i="3"/>
  <c r="I14" i="3" s="1"/>
  <c r="F15" i="14" l="1"/>
  <c r="F21" i="3" s="1"/>
  <c r="I21" i="3" s="1"/>
  <c r="H14" i="3"/>
  <c r="I36" i="3"/>
  <c r="F22" i="3"/>
  <c r="I22" i="3" s="1"/>
  <c r="F18" i="3"/>
  <c r="I18" i="3" s="1"/>
  <c r="F18" i="19"/>
  <c r="I16" i="3"/>
  <c r="F13" i="3"/>
  <c r="I13" i="3" s="1"/>
  <c r="F19" i="18"/>
  <c r="F35" i="3"/>
  <c r="I35" i="3" s="1"/>
  <c r="F34" i="3"/>
  <c r="I34" i="3" s="1"/>
  <c r="H13" i="3" l="1"/>
  <c r="F20" i="3"/>
  <c r="I20" i="3" s="1"/>
  <c r="H22" i="3"/>
  <c r="H34" i="3"/>
  <c r="H35" i="3"/>
  <c r="F17" i="3"/>
  <c r="I17" i="3" s="1"/>
  <c r="F5" i="23"/>
  <c r="F15" i="3"/>
  <c r="F27" i="3"/>
  <c r="I27" i="3" s="1"/>
  <c r="F28" i="3"/>
  <c r="I28" i="3" s="1"/>
  <c r="H21" i="3"/>
  <c r="H36" i="3"/>
  <c r="F23" i="3"/>
  <c r="I23" i="3" s="1"/>
  <c r="F19" i="3"/>
  <c r="I19" i="3" s="1"/>
  <c r="F24" i="3"/>
  <c r="I24" i="3" s="1"/>
  <c r="H16" i="3"/>
  <c r="F26" i="3"/>
  <c r="I26" i="3" s="1"/>
  <c r="F29" i="3"/>
  <c r="I29" i="3" s="1"/>
  <c r="H18" i="3"/>
  <c r="H15" i="3" l="1"/>
  <c r="I15" i="3"/>
  <c r="H28" i="3"/>
  <c r="H27" i="3"/>
  <c r="F8" i="23"/>
  <c r="F31" i="3" s="1"/>
  <c r="I31" i="3" s="1"/>
  <c r="H17" i="3"/>
  <c r="H24" i="3"/>
  <c r="H26" i="3"/>
  <c r="H19" i="3"/>
  <c r="H37" i="3"/>
  <c r="H29" i="3"/>
  <c r="H20" i="3"/>
  <c r="H23" i="3"/>
  <c r="F32" i="3" l="1"/>
  <c r="H31" i="3"/>
  <c r="I32" i="3" l="1"/>
  <c r="F39" i="3"/>
  <c r="H32" i="3"/>
  <c r="F41" i="3" l="1"/>
  <c r="H39" i="3"/>
  <c r="I39" i="3"/>
  <c r="F42" i="3" l="1"/>
  <c r="F43" i="3" s="1"/>
  <c r="I41" i="3"/>
  <c r="H41" i="3"/>
  <c r="I43" i="3" l="1"/>
  <c r="I42" i="3"/>
  <c r="H42" i="3"/>
  <c r="I45" i="3" l="1"/>
  <c r="H43" i="3"/>
  <c r="H45" i="3" s="1"/>
  <c r="F45" i="3"/>
  <c r="F50" i="3" l="1"/>
  <c r="F52" i="3" l="1"/>
  <c r="I50" i="3"/>
  <c r="I52" i="3" s="1"/>
  <c r="H50" i="3"/>
  <c r="H52" i="3" s="1"/>
</calcChain>
</file>

<file path=xl/sharedStrings.xml><?xml version="1.0" encoding="utf-8"?>
<sst xmlns="http://schemas.openxmlformats.org/spreadsheetml/2006/main" count="744" uniqueCount="353">
  <si>
    <t>ELEMENTAL COST ANALYSIS</t>
  </si>
  <si>
    <t>Stage  :</t>
  </si>
  <si>
    <t>SUMMARY</t>
  </si>
  <si>
    <t>Project:</t>
  </si>
  <si>
    <t>Total</t>
  </si>
  <si>
    <t>Area within external walls:</t>
  </si>
  <si>
    <t>Gross Internal Area</t>
  </si>
  <si>
    <r>
      <rPr>
        <b/>
        <sz val="12"/>
        <rFont val="Arial"/>
        <family val="2"/>
        <charset val="1"/>
      </rPr>
      <t>m</t>
    </r>
    <r>
      <rPr>
        <b/>
        <vertAlign val="superscript"/>
        <sz val="12"/>
        <rFont val="Arial"/>
        <family val="2"/>
        <charset val="1"/>
      </rPr>
      <t>2</t>
    </r>
  </si>
  <si>
    <t>sq.ft.</t>
  </si>
  <si>
    <t>Element</t>
  </si>
  <si>
    <t>Cost  £</t>
  </si>
  <si>
    <t>£/m2 GIA</t>
  </si>
  <si>
    <t>£/sq.ft. NIA</t>
  </si>
  <si>
    <t>Unit</t>
  </si>
  <si>
    <t>substructure</t>
  </si>
  <si>
    <t>structural frame</t>
  </si>
  <si>
    <t>upper floors</t>
  </si>
  <si>
    <t>roof and rainwater goods</t>
  </si>
  <si>
    <t>staircases</t>
  </si>
  <si>
    <t xml:space="preserve">external walls </t>
  </si>
  <si>
    <t>windows &amp; external doors</t>
  </si>
  <si>
    <t>internal walls</t>
  </si>
  <si>
    <t>internal doors and ironmongery</t>
  </si>
  <si>
    <t>wall finishes</t>
  </si>
  <si>
    <t>floor finishes</t>
  </si>
  <si>
    <t>ceiling finishes</t>
  </si>
  <si>
    <t>fittings</t>
  </si>
  <si>
    <t>sanitary fittings and wastes</t>
  </si>
  <si>
    <t>mechanical services installations</t>
  </si>
  <si>
    <t>electrical services installations</t>
  </si>
  <si>
    <t>builders work on services</t>
  </si>
  <si>
    <t>Building Sub-Total</t>
  </si>
  <si>
    <t>repairs</t>
  </si>
  <si>
    <t>incoming services</t>
  </si>
  <si>
    <t>Sub-Total</t>
  </si>
  <si>
    <t>overheads &amp; profit</t>
  </si>
  <si>
    <t>TOTAL COST        £</t>
  </si>
  <si>
    <t>design &amp; price risk</t>
  </si>
  <si>
    <t>Quant</t>
  </si>
  <si>
    <t>Rate</t>
  </si>
  <si>
    <t>Substructure</t>
  </si>
  <si>
    <t>m</t>
  </si>
  <si>
    <t>m2</t>
  </si>
  <si>
    <t>m3</t>
  </si>
  <si>
    <t>Nr</t>
  </si>
  <si>
    <t>Frame</t>
  </si>
  <si>
    <t>item</t>
  </si>
  <si>
    <t>Upper floors</t>
  </si>
  <si>
    <t>Roofs</t>
  </si>
  <si>
    <t>Staircases</t>
  </si>
  <si>
    <t>nr</t>
  </si>
  <si>
    <t>External walls</t>
  </si>
  <si>
    <t>Windows &amp; external doors</t>
  </si>
  <si>
    <t>Windows</t>
  </si>
  <si>
    <t>Internal walls</t>
  </si>
  <si>
    <t>Internal doors</t>
  </si>
  <si>
    <t>Single doors incl. frames + ironmongery</t>
  </si>
  <si>
    <t>Allow for access Panels</t>
  </si>
  <si>
    <t>Wall finishes</t>
  </si>
  <si>
    <t>Floor finishes</t>
  </si>
  <si>
    <t>Ceiling finishes</t>
  </si>
  <si>
    <t>Fittings</t>
  </si>
  <si>
    <t>Sanitary fittings</t>
  </si>
  <si>
    <t>Mechanical installation</t>
  </si>
  <si>
    <t xml:space="preserve">Electrical installation </t>
  </si>
  <si>
    <t>Builders work in connection</t>
  </si>
  <si>
    <t>of</t>
  </si>
  <si>
    <t>Generally</t>
  </si>
  <si>
    <t>Repairs</t>
  </si>
  <si>
    <t>No</t>
  </si>
  <si>
    <t>Sundries  say</t>
  </si>
  <si>
    <t>part incl rates</t>
  </si>
  <si>
    <t>Scaffold</t>
  </si>
  <si>
    <t>WC</t>
  </si>
  <si>
    <t>1 Total to Summary</t>
  </si>
  <si>
    <t>Earthwork support</t>
  </si>
  <si>
    <t>External works</t>
  </si>
  <si>
    <t>external works</t>
  </si>
  <si>
    <t>17.1.01</t>
  </si>
  <si>
    <t>Initial Cost Plan</t>
  </si>
  <si>
    <t>Ground Floor</t>
  </si>
  <si>
    <t>Remove existing windows and dispose off site</t>
  </si>
  <si>
    <t>days</t>
  </si>
  <si>
    <t>First Floor</t>
  </si>
  <si>
    <t>Sundry removal of minor fixings, window blinds/curtains and the like say 4 labourer man days</t>
  </si>
  <si>
    <t>Take up existing tiles, battens and felt etc. and dispose off site</t>
  </si>
  <si>
    <t>Extra for shoe</t>
  </si>
  <si>
    <t>Extra for ridge</t>
  </si>
  <si>
    <t>Extra for double course at eaves</t>
  </si>
  <si>
    <t>Extra for verge</t>
  </si>
  <si>
    <t>Extra for valley</t>
  </si>
  <si>
    <t>Extra for hip</t>
  </si>
  <si>
    <t>External scaffold Access</t>
  </si>
  <si>
    <t>Internal Access</t>
  </si>
  <si>
    <t>preliminaries</t>
  </si>
  <si>
    <t>Incoming Services</t>
  </si>
  <si>
    <t>Upgrading incoming services</t>
  </si>
  <si>
    <t>Joinery generally : -</t>
  </si>
  <si>
    <t>Mirrors and sundries etc.  Say</t>
  </si>
  <si>
    <t>Engineered flooring (say £60/m2 supply)</t>
  </si>
  <si>
    <t>Grd Floor</t>
  </si>
  <si>
    <t>1st Floor</t>
  </si>
  <si>
    <t>Excavate for and including concrete strip foundations</t>
  </si>
  <si>
    <t>Extra for steel reinforcement bars</t>
  </si>
  <si>
    <t>Extra for formwork</t>
  </si>
  <si>
    <t>Extra for compacting base of excavation</t>
  </si>
  <si>
    <t>Extra for DPM</t>
  </si>
  <si>
    <t>Excavate for new extension floor build up and dispose</t>
  </si>
  <si>
    <t>T</t>
  </si>
  <si>
    <t>Extra for 100 mm insulation</t>
  </si>
  <si>
    <t>Extra for connections with existing slab incl movement joints</t>
  </si>
  <si>
    <t>Extra for 75 mm screed</t>
  </si>
  <si>
    <t>Extra for 50 mm blinding</t>
  </si>
  <si>
    <t>Extra for 150 mm type 1 sub-base</t>
  </si>
  <si>
    <t>Extra for bonding into existing masonry</t>
  </si>
  <si>
    <t>Extra for dealing with rainwater</t>
  </si>
  <si>
    <t xml:space="preserve">Flat roofs incl joists, ply, insulation and single ply coverings </t>
  </si>
  <si>
    <t>External Doors</t>
  </si>
  <si>
    <t>Remove existing and dispose</t>
  </si>
  <si>
    <t>Stripping out existing installations</t>
  </si>
  <si>
    <t>Heating via radiators</t>
  </si>
  <si>
    <t>Controls (basic)</t>
  </si>
  <si>
    <t>Above ground drainage</t>
  </si>
  <si>
    <t>Below ground drainage</t>
  </si>
  <si>
    <t>H &amp; C Water</t>
  </si>
  <si>
    <t>Ventilation</t>
  </si>
  <si>
    <t>Sundries/commissioning</t>
  </si>
  <si>
    <t>Preliminaries</t>
  </si>
  <si>
    <t>Mains Distribution</t>
  </si>
  <si>
    <t>Small power</t>
  </si>
  <si>
    <t>New lighting</t>
  </si>
  <si>
    <t>Provisional Sum for feature lighting</t>
  </si>
  <si>
    <t>External lighting (Provisional)</t>
  </si>
  <si>
    <t>Fire and Security alarm</t>
  </si>
  <si>
    <t>IT/Data/coms</t>
  </si>
  <si>
    <t>Decorations</t>
  </si>
  <si>
    <t>Geotextile membrane</t>
  </si>
  <si>
    <t>Total to Summary</t>
  </si>
  <si>
    <t>Other Costs</t>
  </si>
  <si>
    <t>Sundry repairs</t>
  </si>
  <si>
    <t>demolitions and alterations</t>
  </si>
  <si>
    <t>TOTAL CURRENT DAY  COST       £</t>
  </si>
  <si>
    <t>THE LINK BUILDING, ST BARTHOLEMEW'S CHURCH</t>
  </si>
  <si>
    <t>Break out and remove existing brick retaining walls and railing etc. and dispose</t>
  </si>
  <si>
    <t>Break up and remove existing tarmac layer and dispose off site</t>
  </si>
  <si>
    <t>Excavate as necessary to lower external entrance lobby area and dispose off site</t>
  </si>
  <si>
    <t>Type 1 sub-base ready to receive tarmac finish (msd separately)</t>
  </si>
  <si>
    <t>De-lineation of car parking spaces  say</t>
  </si>
  <si>
    <t>Surface water drainage to tarmac areas  say</t>
  </si>
  <si>
    <t>Lifts</t>
  </si>
  <si>
    <t>Main lift</t>
  </si>
  <si>
    <t>External platform lift</t>
  </si>
  <si>
    <t>Power supplies to lift</t>
  </si>
  <si>
    <t>Tarmac areas</t>
  </si>
  <si>
    <t>Remove gate to car park, dispose and make good</t>
  </si>
  <si>
    <t>Lower ragstone entrance walls to car park by say 500 mm for full length and make good head of wall with coping (details unknown)</t>
  </si>
  <si>
    <t>Kitchen and appliances (Provisional Allowance)</t>
  </si>
  <si>
    <t>Room 6</t>
  </si>
  <si>
    <t>Room 5</t>
  </si>
  <si>
    <t>Storage</t>
  </si>
  <si>
    <t>Room 3</t>
  </si>
  <si>
    <t>GF Accessible WC (adjacent to Room 2)</t>
  </si>
  <si>
    <t>GF Accessible WC and Shower Room (adjacent to Kitchen)</t>
  </si>
  <si>
    <t>GF Toilets and Accessible WC (adjacent to Lift Lobby)</t>
  </si>
  <si>
    <t>Room 3 (FF)</t>
  </si>
  <si>
    <t>Room 5 (FF)</t>
  </si>
  <si>
    <t>Room 6 (FF)</t>
  </si>
  <si>
    <t>Storage Room (FF)</t>
  </si>
  <si>
    <t>Toilets (GF)</t>
  </si>
  <si>
    <t>Storage Room (GF)</t>
  </si>
  <si>
    <t>Room 2 (GF)</t>
  </si>
  <si>
    <t>FF Accessible WC (adjacent to Lift Lobby)</t>
  </si>
  <si>
    <t>FF WC (adjacent to Lift Lobby)</t>
  </si>
  <si>
    <t>Waterproofing in Shower Room say</t>
  </si>
  <si>
    <t>Solar PV Installation</t>
  </si>
  <si>
    <t>Gas fired boiler</t>
  </si>
  <si>
    <t>Extra over for ASHP</t>
  </si>
  <si>
    <t>Extra for ASHP housing</t>
  </si>
  <si>
    <t>Convert old WC block into dry store (details unknown) (Provisional Sum)</t>
  </si>
  <si>
    <t>Widen existing vehicular access and make good adjacent finishes (Provisional)  say</t>
  </si>
  <si>
    <t>AV Installation (assume less extensive than was required in church) (Provisional)</t>
  </si>
  <si>
    <t>Access Controls all as Guardian Security SW Ltd. quote dated 12.4.22</t>
  </si>
  <si>
    <t>Tea Point</t>
  </si>
  <si>
    <t>BWIC Mech, Elec and Lifts</t>
  </si>
  <si>
    <t>Extra for temporary roof (Provisional)</t>
  </si>
  <si>
    <t>Boiler Room</t>
  </si>
  <si>
    <t>Kitchen</t>
  </si>
  <si>
    <t>Storage (adjacent WC)</t>
  </si>
  <si>
    <t>Lift Lobby and stair area</t>
  </si>
  <si>
    <t>Storage adjacent to lift</t>
  </si>
  <si>
    <t>Toilets</t>
  </si>
  <si>
    <t>Main Space (Room 1)</t>
  </si>
  <si>
    <t>WC (next Room 2)</t>
  </si>
  <si>
    <t>Office (Room 2)</t>
  </si>
  <si>
    <t>Entrance Lobby</t>
  </si>
  <si>
    <t>Vinyl</t>
  </si>
  <si>
    <t>Carpet (First Floor)</t>
  </si>
  <si>
    <t>Lift Lobby and stair</t>
  </si>
  <si>
    <t>Disabled WC</t>
  </si>
  <si>
    <t>Room 4</t>
  </si>
  <si>
    <t>18 mm ply to all FF areas</t>
  </si>
  <si>
    <t>Latex levelling screed to all GF areas</t>
  </si>
  <si>
    <t>New timber skirtings as required</t>
  </si>
  <si>
    <t>Ceramic Tiling (say £35/m2 supply)</t>
  </si>
  <si>
    <t>New Staircase around lift</t>
  </si>
  <si>
    <t>Forming steps in Room 6</t>
  </si>
  <si>
    <t>New ceiling to underside of joists on GF (assume acoustic ceiling comprising 2 layers SoundBloc board, resilient bars and skim finish)</t>
  </si>
  <si>
    <t>New standard plasterboard and skim ceiling to underside of rafters on FF</t>
  </si>
  <si>
    <t>Extra for insualtion between rafters (assume Kingspan)</t>
  </si>
  <si>
    <t>Standard covings on GF (no details)  say</t>
  </si>
  <si>
    <t>Tiling to WC's and bathrooms etc. - full height to 2 of 4 walls PC £35/m2 supply</t>
  </si>
  <si>
    <t>Tiled splashback to kitchen say</t>
  </si>
  <si>
    <t>WC (FF)</t>
  </si>
  <si>
    <t>Disabled WC (FF)</t>
  </si>
  <si>
    <t>Extra over for kerdiboard in shower area ready to receive tiling (msd separately)</t>
  </si>
  <si>
    <t>Plaster Repairs generally (Provisional)</t>
  </si>
  <si>
    <t>Boiler Room door  say</t>
  </si>
  <si>
    <t>Double fully glazed doors and side lights incl. ironmongery from lobby into room 1</t>
  </si>
  <si>
    <t>Double timber/glazed doors incl. frames + ironmongery (from lift lobby into room 1)</t>
  </si>
  <si>
    <t>Single door, frame and ironmongery to Kitchen</t>
  </si>
  <si>
    <t>Remove door and screen from link entrance</t>
  </si>
  <si>
    <t>New double glazed powder coated aluminium windows : -</t>
  </si>
  <si>
    <t>North West Elevation</t>
  </si>
  <si>
    <t>South West Elevation</t>
  </si>
  <si>
    <t>Incl curved head</t>
  </si>
  <si>
    <t>Square/Rectangular</t>
  </si>
  <si>
    <t>Arrow slit window</t>
  </si>
  <si>
    <t>Small window with curved head</t>
  </si>
  <si>
    <t>South East Elevation</t>
  </si>
  <si>
    <t>North East Elevation</t>
  </si>
  <si>
    <t>Dormer windows</t>
  </si>
  <si>
    <t>Double entrance door incl. ironmongery (assume part glazed)</t>
  </si>
  <si>
    <t>Double entrance doors to new link incl new frame and ironmongery and curved head (assume glazed)</t>
  </si>
  <si>
    <t>Extra for removing all metal security bars and grilles etc.  And make good stonework  Say</t>
  </si>
  <si>
    <t>Provisional allowance for new security bars etc. to windows adajent to road  say</t>
  </si>
  <si>
    <t>Stud partition walls incl studwork, acoustic insulation and SoundBloc board and skim both sides</t>
  </si>
  <si>
    <t>Soundproof office pod in Room 2 on GF (Provisional)  say</t>
  </si>
  <si>
    <t>Stud partition walls incl studwork, acoustic insulation and SoundBloc board and skim one side only to perimeter of rooms</t>
  </si>
  <si>
    <t>Internal block masonry wall to WC about 700 mm wide x 3300 mm high plastered both sides</t>
  </si>
  <si>
    <t>Curtain wall glazing to entrance extension above plinth</t>
  </si>
  <si>
    <t>Extra for work at junctions with existing</t>
  </si>
  <si>
    <t>Line existing walls to new entrance (formally external walls) with plasterboard and skim on and incl battens</t>
  </si>
  <si>
    <t>Externals walls at entrance from new link (assume cavity wall incl rendered blockwork)</t>
  </si>
  <si>
    <t>Construct new plinth to entrance porch comprising cavity constrcution with outer skin of stonework, cavity, insulation, inner skin of blockwork and plastered internally</t>
  </si>
  <si>
    <t>Extra for coping stone to top of plinth</t>
  </si>
  <si>
    <t>Sundry works to external walls north of Room 6 (details unknown but the drawings appears to indicate new walls here?) (PROVISIONAL) - TBC</t>
  </si>
  <si>
    <t>Generally remove vegetation etc. to hard landscaped areas around Link Building and leave tidy</t>
  </si>
  <si>
    <t>General internal Decorations</t>
  </si>
  <si>
    <t>Remove rainwater gutters, dispose and renew in cast iron</t>
  </si>
  <si>
    <t>Remove rainwater pipes, dispose and renew in cast iron</t>
  </si>
  <si>
    <t>Extra for providing new in cast iron</t>
  </si>
  <si>
    <t>External Redecorations : -</t>
  </si>
  <si>
    <t>Existing bargeboards</t>
  </si>
  <si>
    <t>Existing Fascias and soffits etc.</t>
  </si>
  <si>
    <t>Tiled roof coverings on and including battens and felt</t>
  </si>
  <si>
    <t>Replace Main roof</t>
  </si>
  <si>
    <t>External walls where new flat roof formed (details not clear from dwgs) - PROVISIONAL</t>
  </si>
  <si>
    <t>Remove existing lead flashings  say</t>
  </si>
  <si>
    <t>Provide new lead flashings etc.</t>
  </si>
  <si>
    <t>Insulate between rafters (area not covered by insulation in ceilings finishes tab)</t>
  </si>
  <si>
    <t>New gutters in cast iron</t>
  </si>
  <si>
    <t>New rainwater pipes in cast iron</t>
  </si>
  <si>
    <t>New Link Roof</t>
  </si>
  <si>
    <t>New timber roof construction to form link</t>
  </si>
  <si>
    <t>Velux rooflights including trimming out as necessary</t>
  </si>
  <si>
    <t>New Dormer Roofs</t>
  </si>
  <si>
    <t>Incl abv</t>
  </si>
  <si>
    <t>New timber roof construction to form new roof extension and dormer</t>
  </si>
  <si>
    <t>Extra for junctions with existing roof on dormers</t>
  </si>
  <si>
    <t>Extra for junctions with existing roof on new extension roof</t>
  </si>
  <si>
    <t>Extra for upstands etc.</t>
  </si>
  <si>
    <t>New Flat Roof Extension</t>
  </si>
  <si>
    <t>New Porch Roof</t>
  </si>
  <si>
    <t>Flat roofs incl joists, ply, insulation and lead</t>
  </si>
  <si>
    <t>Renewing flat roof at NE corner in lead</t>
  </si>
  <si>
    <t>NE Flat Roof</t>
  </si>
  <si>
    <t>Provide new timber floor construction comprising 50 x 200 mm joists and joist hangers, wall plates etc.</t>
  </si>
  <si>
    <t>Padstones built into existing masonry ready to receive steels</t>
  </si>
  <si>
    <t>Extra for timbers bolted into web of steel beam ready to receive joists and hangers</t>
  </si>
  <si>
    <t>Sundry structural works  say</t>
  </si>
  <si>
    <t>Extra for lift pit</t>
  </si>
  <si>
    <t>Steelwork spanning room 1 (no details so have made assumptions on what may be required) (PROVISIONAL)</t>
  </si>
  <si>
    <t>New Entrance Porch</t>
  </si>
  <si>
    <t>Cast new 200 mm concrete slab</t>
  </si>
  <si>
    <t>Cut away and remove 400 mm thick external wall about 2700 x 3000 mm and dispose surplus materials off site</t>
  </si>
  <si>
    <t>Extra for making good surroundinf finishes</t>
  </si>
  <si>
    <t>Take down and remove internal partitions and dispose off site</t>
  </si>
  <si>
    <t>Extra for installing steel beam if structural (Provisional)</t>
  </si>
  <si>
    <t>Extra for padstones</t>
  </si>
  <si>
    <t>Take down and remove 400 mm thick masonry wall adjacent to WC's and dispose</t>
  </si>
  <si>
    <t>Demolitions and Alterations to existing structures</t>
  </si>
  <si>
    <t>Removing external walls and internal partitions etc.</t>
  </si>
  <si>
    <t>Forming and Infilling openings etc.</t>
  </si>
  <si>
    <t>Removing folding partitions and dispose about 4500 mm long incl making good</t>
  </si>
  <si>
    <t>Remove central supporting column including providing temporary propping as necessary (Provisional)</t>
  </si>
  <si>
    <t>Remove existing joinery (wardrobe unit) about 3200 mm long and dispose</t>
  </si>
  <si>
    <t>Remove existing Kitchen and dispose</t>
  </si>
  <si>
    <t>Ditto but cupboards in room adjacent</t>
  </si>
  <si>
    <t>Remove all sanitaryware etc. in toilet areas and dispose say</t>
  </si>
  <si>
    <t>Remove all internal doors (not already incl in partition removals quants below) and dispose</t>
  </si>
  <si>
    <t>Removal of structures</t>
  </si>
  <si>
    <t>Removal of fittings and fixtures</t>
  </si>
  <si>
    <t>Removal of finishes</t>
  </si>
  <si>
    <t>Remove existing floor coverings and dispose</t>
  </si>
  <si>
    <t>Remove existing ceilings and dispose</t>
  </si>
  <si>
    <t>Remove of existing 1st floor joists etc. and dispose</t>
  </si>
  <si>
    <t>Remove existing skirtings and dispose</t>
  </si>
  <si>
    <t>Excavate for and including concrete pad foundations for link building posts</t>
  </si>
  <si>
    <t>Link Building</t>
  </si>
  <si>
    <t>Ceiling to underside of link (details unknown)  say</t>
  </si>
  <si>
    <t>New timber frame and posts etc. for link between church and Link building (no details)</t>
  </si>
  <si>
    <t>Forming opening in 400 mm thick masonry wall for new kitchen hatch size about 1000 x 1000 mm</t>
  </si>
  <si>
    <t>Forming opening in 400 mm thick wall for new door size abut 800 x 2000 mm</t>
  </si>
  <si>
    <t>Forming opening in 275 mm thick wall for new door size abut 800 x 2000 mm</t>
  </si>
  <si>
    <t>Filling in opening about 1000 x 2000 mm in cavity blockwork plastered both sides</t>
  </si>
  <si>
    <t>Forming opening in 400 mm thick wall on 1st floor between storage and room 5</t>
  </si>
  <si>
    <t>Filling in opening about 900 x 2000 mm in timber studwork and plasterboard and skim etc.</t>
  </si>
  <si>
    <t xml:space="preserve">Adapt, cut away and enlarge opening as necessary to allow for 1000 mm wide door in WC adjacent </t>
  </si>
  <si>
    <t>Works to existing windows where new 1st floor construction splits the window in 2 (no details)  say</t>
  </si>
  <si>
    <t>Bicycle parking storage points  say</t>
  </si>
  <si>
    <t>Kitchen Hatch</t>
  </si>
  <si>
    <t>New Entrance Lobby Steps and paving</t>
  </si>
  <si>
    <t xml:space="preserve">New curved stone steps </t>
  </si>
  <si>
    <t>New Stone paving at bottom of steps bedded on and including lime mortar</t>
  </si>
  <si>
    <t>ACO drain at door threshold</t>
  </si>
  <si>
    <t>Sundry works  say</t>
  </si>
  <si>
    <t>New railing  say</t>
  </si>
  <si>
    <t>Works assocaited with blocking up/fixing shut existing kithcen entrance door</t>
  </si>
  <si>
    <t>on BCIS tender indices (May 2022 to</t>
  </si>
  <si>
    <t>spring 2024)</t>
  </si>
  <si>
    <t>Inflation for a summer 2024 start based</t>
  </si>
  <si>
    <t>Repairs/repointing to external elevations</t>
  </si>
  <si>
    <t>New concrete foundation to steps incl formwork</t>
  </si>
  <si>
    <t>a)       Value Added Tax</t>
  </si>
  <si>
    <t>b)      Professional Fees</t>
  </si>
  <si>
    <t>c)       Loose fittings and fixtures</t>
  </si>
  <si>
    <t>d)      Soft Landscaping</t>
  </si>
  <si>
    <t>e)      Local Authorities' charges</t>
  </si>
  <si>
    <t>f)        Decanting Costs</t>
  </si>
  <si>
    <t>g)       Asbestos survey and removal</t>
  </si>
  <si>
    <t>h)      Additional surveys</t>
  </si>
  <si>
    <t>i)        Furniture and fittings</t>
  </si>
  <si>
    <t>j)        Curtains and blinds</t>
  </si>
  <si>
    <t>k)       Telephone and satellite TV installations</t>
  </si>
  <si>
    <t>l)        Additional insurances</t>
  </si>
  <si>
    <t>Exclusions : -</t>
  </si>
  <si>
    <t>Provide and lay tarmac surface</t>
  </si>
  <si>
    <t>Excavate to reduce levels for new tarmac build up about 250 mm and dispose off site</t>
  </si>
  <si>
    <t>Scaffold Access and Temp Roof</t>
  </si>
  <si>
    <t>decorations</t>
  </si>
  <si>
    <t>Date: 27th May, 2022</t>
  </si>
  <si>
    <t>Total Cost</t>
  </si>
  <si>
    <t>add 7.2% increase re 2025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</si>
</sst>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\-??_-;_-@_-"/>
    <numFmt numFmtId="165" formatCode="0.0%"/>
    <numFmt numFmtId="166" formatCode="\£#,##0"/>
    <numFmt numFmtId="167" formatCode="_(* #,##0.00_);_(* \(#,##0.00\);_(* \-??_);_(@_)"/>
    <numFmt numFmtId="168" formatCode="#,##0.000"/>
  </numFmts>
  <fonts count="2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vertAlign val="superscript"/>
      <sz val="12"/>
      <name val="Arial"/>
      <family val="2"/>
      <charset val="1"/>
    </font>
    <font>
      <b/>
      <sz val="10"/>
      <name val="Arial"/>
      <family val="2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name val="Arial"/>
      <family val="2"/>
      <charset val="1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u/>
      <sz val="12"/>
      <name val="Arial"/>
      <family val="2"/>
      <charset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164" fontId="13" fillId="0" borderId="0" applyBorder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3"/>
    <xf numFmtId="0" fontId="5" fillId="2" borderId="1" xfId="3" applyFont="1" applyFill="1" applyBorder="1"/>
    <xf numFmtId="0" fontId="5" fillId="2" borderId="0" xfId="3" applyFont="1" applyFill="1"/>
    <xf numFmtId="0" fontId="3" fillId="2" borderId="0" xfId="3" applyFill="1"/>
    <xf numFmtId="4" fontId="5" fillId="2" borderId="0" xfId="3" applyNumberFormat="1" applyFont="1" applyFill="1" applyAlignment="1">
      <alignment horizontal="right"/>
    </xf>
    <xf numFmtId="4" fontId="3" fillId="2" borderId="0" xfId="3" applyNumberFormat="1" applyFill="1"/>
    <xf numFmtId="0" fontId="5" fillId="2" borderId="3" xfId="3" applyFont="1" applyFill="1" applyBorder="1"/>
    <xf numFmtId="0" fontId="5" fillId="2" borderId="4" xfId="3" applyFont="1" applyFill="1" applyBorder="1"/>
    <xf numFmtId="0" fontId="3" fillId="2" borderId="1" xfId="3" applyFill="1" applyBorder="1"/>
    <xf numFmtId="3" fontId="5" fillId="2" borderId="4" xfId="3" applyNumberFormat="1" applyFont="1" applyFill="1" applyBorder="1" applyAlignment="1">
      <alignment horizontal="right"/>
    </xf>
    <xf numFmtId="4" fontId="5" fillId="2" borderId="4" xfId="3" applyNumberFormat="1" applyFont="1" applyFill="1" applyBorder="1" applyAlignment="1">
      <alignment horizontal="left"/>
    </xf>
    <xf numFmtId="3" fontId="5" fillId="2" borderId="0" xfId="3" applyNumberFormat="1" applyFont="1" applyFill="1" applyAlignment="1">
      <alignment horizontal="right"/>
    </xf>
    <xf numFmtId="4" fontId="5" fillId="2" borderId="0" xfId="3" applyNumberFormat="1" applyFont="1" applyFill="1" applyAlignment="1">
      <alignment horizontal="left"/>
    </xf>
    <xf numFmtId="10" fontId="5" fillId="2" borderId="0" xfId="3" applyNumberFormat="1" applyFont="1" applyFill="1" applyAlignment="1">
      <alignment horizontal="right"/>
    </xf>
    <xf numFmtId="0" fontId="5" fillId="0" borderId="0" xfId="3" applyFont="1"/>
    <xf numFmtId="4" fontId="5" fillId="2" borderId="0" xfId="3" applyNumberFormat="1" applyFont="1" applyFill="1" applyAlignment="1">
      <alignment horizontal="center"/>
    </xf>
    <xf numFmtId="0" fontId="3" fillId="0" borderId="4" xfId="3" applyBorder="1"/>
    <xf numFmtId="0" fontId="3" fillId="0" borderId="5" xfId="3" applyBorder="1"/>
    <xf numFmtId="4" fontId="3" fillId="0" borderId="7" xfId="3" applyNumberFormat="1" applyBorder="1"/>
    <xf numFmtId="4" fontId="3" fillId="0" borderId="8" xfId="3" applyNumberFormat="1" applyBorder="1"/>
    <xf numFmtId="4" fontId="3" fillId="0" borderId="0" xfId="3" applyNumberFormat="1"/>
    <xf numFmtId="3" fontId="3" fillId="0" borderId="1" xfId="3" applyNumberFormat="1" applyBorder="1"/>
    <xf numFmtId="0" fontId="3" fillId="0" borderId="9" xfId="3" applyBorder="1"/>
    <xf numFmtId="4" fontId="3" fillId="0" borderId="12" xfId="3" applyNumberFormat="1" applyBorder="1"/>
    <xf numFmtId="3" fontId="3" fillId="0" borderId="9" xfId="3" applyNumberFormat="1" applyBorder="1"/>
    <xf numFmtId="4" fontId="3" fillId="0" borderId="14" xfId="3" applyNumberFormat="1" applyBorder="1"/>
    <xf numFmtId="0" fontId="5" fillId="0" borderId="4" xfId="3" applyFont="1" applyBorder="1"/>
    <xf numFmtId="0" fontId="5" fillId="0" borderId="9" xfId="3" applyFont="1" applyBorder="1"/>
    <xf numFmtId="4" fontId="3" fillId="0" borderId="9" xfId="3" applyNumberFormat="1" applyBorder="1"/>
    <xf numFmtId="4" fontId="3" fillId="0" borderId="15" xfId="3" applyNumberFormat="1" applyBorder="1"/>
    <xf numFmtId="4" fontId="3" fillId="0" borderId="16" xfId="3" applyNumberFormat="1" applyBorder="1"/>
    <xf numFmtId="4" fontId="3" fillId="0" borderId="10" xfId="3" applyNumberFormat="1" applyBorder="1"/>
    <xf numFmtId="165" fontId="3" fillId="0" borderId="0" xfId="3" applyNumberFormat="1"/>
    <xf numFmtId="166" fontId="3" fillId="0" borderId="9" xfId="3" applyNumberFormat="1" applyBorder="1" applyAlignment="1">
      <alignment horizontal="left"/>
    </xf>
    <xf numFmtId="4" fontId="3" fillId="0" borderId="18" xfId="3" applyNumberFormat="1" applyBorder="1" applyAlignment="1">
      <alignment horizontal="right"/>
    </xf>
    <xf numFmtId="4" fontId="3" fillId="0" borderId="19" xfId="3" applyNumberFormat="1" applyBorder="1" applyAlignment="1">
      <alignment horizontal="right"/>
    </xf>
    <xf numFmtId="4" fontId="3" fillId="0" borderId="20" xfId="3" applyNumberFormat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0" fontId="0" fillId="0" borderId="0" xfId="0" applyNumberFormat="1" applyAlignment="1">
      <alignment vertical="top"/>
    </xf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vertical="top" wrapText="1"/>
    </xf>
    <xf numFmtId="3" fontId="8" fillId="0" borderId="21" xfId="0" applyNumberFormat="1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4" fontId="8" fillId="0" borderId="21" xfId="0" applyNumberFormat="1" applyFont="1" applyBorder="1" applyAlignment="1">
      <alignment horizontal="center" vertical="top"/>
    </xf>
    <xf numFmtId="1" fontId="9" fillId="0" borderId="22" xfId="0" applyNumberFormat="1" applyFont="1" applyBorder="1" applyAlignment="1">
      <alignment horizontal="center" vertical="top"/>
    </xf>
    <xf numFmtId="3" fontId="10" fillId="0" borderId="22" xfId="0" applyNumberFormat="1" applyFont="1" applyBorder="1" applyAlignment="1">
      <alignment vertical="top" wrapText="1"/>
    </xf>
    <xf numFmtId="3" fontId="0" fillId="0" borderId="22" xfId="0" applyNumberFormat="1" applyBorder="1" applyAlignment="1">
      <alignment horizontal="right" vertical="top"/>
    </xf>
    <xf numFmtId="0" fontId="0" fillId="0" borderId="22" xfId="0" applyBorder="1" applyAlignment="1">
      <alignment horizontal="center" vertical="top"/>
    </xf>
    <xf numFmtId="4" fontId="0" fillId="0" borderId="22" xfId="0" applyNumberFormat="1" applyBorder="1" applyAlignment="1">
      <alignment horizontal="right" vertical="top"/>
    </xf>
    <xf numFmtId="1" fontId="2" fillId="0" borderId="22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vertical="top" wrapText="1"/>
    </xf>
    <xf numFmtId="3" fontId="2" fillId="0" borderId="22" xfId="0" applyNumberFormat="1" applyFont="1" applyBorder="1" applyAlignment="1">
      <alignment horizontal="right" vertical="top"/>
    </xf>
    <xf numFmtId="0" fontId="2" fillId="0" borderId="22" xfId="0" applyFont="1" applyBorder="1" applyAlignment="1">
      <alignment horizontal="center" vertical="top"/>
    </xf>
    <xf numFmtId="4" fontId="2" fillId="0" borderId="22" xfId="0" applyNumberFormat="1" applyFont="1" applyBorder="1" applyAlignment="1">
      <alignment horizontal="right" vertical="top"/>
    </xf>
    <xf numFmtId="0" fontId="9" fillId="0" borderId="22" xfId="0" applyFont="1" applyBorder="1" applyAlignment="1">
      <alignment vertical="top" wrapText="1"/>
    </xf>
    <xf numFmtId="4" fontId="2" fillId="0" borderId="22" xfId="0" applyNumberFormat="1" applyFont="1" applyBorder="1" applyAlignment="1">
      <alignment vertical="top"/>
    </xf>
    <xf numFmtId="3" fontId="2" fillId="0" borderId="22" xfId="0" applyNumberFormat="1" applyFont="1" applyBorder="1" applyAlignment="1">
      <alignment vertical="top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0" borderId="22" xfId="0" applyFont="1" applyBorder="1" applyAlignment="1">
      <alignment horizontal="right" wrapText="1"/>
    </xf>
    <xf numFmtId="4" fontId="9" fillId="0" borderId="23" xfId="0" applyNumberFormat="1" applyFont="1" applyBorder="1" applyAlignment="1">
      <alignment horizontal="right" vertical="top"/>
    </xf>
    <xf numFmtId="4" fontId="9" fillId="0" borderId="22" xfId="0" applyNumberFormat="1" applyFont="1" applyBorder="1" applyAlignment="1">
      <alignment horizontal="right" vertical="top"/>
    </xf>
    <xf numFmtId="0" fontId="9" fillId="0" borderId="22" xfId="0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1" fontId="9" fillId="0" borderId="23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vertical="top" wrapText="1"/>
    </xf>
    <xf numFmtId="3" fontId="9" fillId="0" borderId="23" xfId="0" applyNumberFormat="1" applyFont="1" applyBorder="1" applyAlignment="1">
      <alignment horizontal="right" vertical="top"/>
    </xf>
    <xf numFmtId="0" fontId="9" fillId="0" borderId="23" xfId="0" applyFont="1" applyBorder="1" applyAlignment="1">
      <alignment horizontal="center" vertical="top"/>
    </xf>
    <xf numFmtId="1" fontId="0" fillId="0" borderId="22" xfId="0" applyNumberFormat="1" applyBorder="1" applyAlignment="1">
      <alignment horizontal="center" vertical="top"/>
    </xf>
    <xf numFmtId="0" fontId="0" fillId="0" borderId="22" xfId="0" applyBorder="1" applyAlignment="1">
      <alignment vertical="top" wrapText="1"/>
    </xf>
    <xf numFmtId="4" fontId="0" fillId="0" borderId="22" xfId="0" applyNumberForma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21" xfId="0" applyFont="1" applyBorder="1" applyAlignment="1">
      <alignment horizontal="center" vertical="top"/>
    </xf>
    <xf numFmtId="0" fontId="2" fillId="0" borderId="21" xfId="0" applyFont="1" applyBorder="1" applyAlignment="1">
      <alignment wrapText="1"/>
    </xf>
    <xf numFmtId="3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wrapText="1"/>
    </xf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/>
    <xf numFmtId="4" fontId="2" fillId="0" borderId="22" xfId="0" applyNumberFormat="1" applyFont="1" applyBorder="1"/>
    <xf numFmtId="4" fontId="9" fillId="0" borderId="23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wrapText="1"/>
    </xf>
    <xf numFmtId="3" fontId="9" fillId="0" borderId="23" xfId="0" applyNumberFormat="1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left" wrapText="1" indent="13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21" xfId="0" applyBorder="1" applyAlignment="1">
      <alignment wrapText="1"/>
    </xf>
    <xf numFmtId="3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center"/>
    </xf>
    <xf numFmtId="4" fontId="0" fillId="0" borderId="22" xfId="0" applyNumberFormat="1" applyBorder="1" applyAlignment="1">
      <alignment horizontal="right"/>
    </xf>
    <xf numFmtId="0" fontId="0" fillId="0" borderId="22" xfId="0" applyBorder="1" applyAlignment="1">
      <alignment wrapText="1"/>
    </xf>
    <xf numFmtId="3" fontId="0" fillId="0" borderId="22" xfId="0" applyNumberFormat="1" applyBorder="1"/>
    <xf numFmtId="4" fontId="0" fillId="0" borderId="22" xfId="0" applyNumberFormat="1" applyBorder="1"/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21" xfId="0" applyFont="1" applyBorder="1" applyAlignment="1">
      <alignment vertical="top" wrapText="1"/>
    </xf>
    <xf numFmtId="4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3" fontId="2" fillId="0" borderId="22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2" fillId="0" borderId="22" xfId="0" applyFont="1" applyBorder="1" applyAlignment="1">
      <alignment vertical="top"/>
    </xf>
    <xf numFmtId="4" fontId="9" fillId="0" borderId="22" xfId="0" applyNumberFormat="1" applyFont="1" applyBorder="1" applyAlignment="1">
      <alignment horizontal="right"/>
    </xf>
    <xf numFmtId="167" fontId="0" fillId="0" borderId="0" xfId="0" applyNumberFormat="1"/>
    <xf numFmtId="40" fontId="0" fillId="0" borderId="0" xfId="0" applyNumberFormat="1"/>
    <xf numFmtId="0" fontId="2" fillId="0" borderId="0" xfId="3" applyFont="1"/>
    <xf numFmtId="167" fontId="9" fillId="0" borderId="0" xfId="0" applyNumberFormat="1" applyFont="1"/>
    <xf numFmtId="167" fontId="2" fillId="0" borderId="0" xfId="0" applyNumberFormat="1" applyFont="1"/>
    <xf numFmtId="40" fontId="2" fillId="0" borderId="0" xfId="0" applyNumberFormat="1" applyFont="1"/>
    <xf numFmtId="1" fontId="2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0" fillId="0" borderId="22" xfId="0" applyBorder="1" applyAlignment="1">
      <alignment vertical="top"/>
    </xf>
    <xf numFmtId="0" fontId="9" fillId="0" borderId="0" xfId="0" applyFont="1"/>
    <xf numFmtId="0" fontId="0" fillId="0" borderId="22" xfId="0" applyBorder="1"/>
    <xf numFmtId="10" fontId="2" fillId="0" borderId="22" xfId="0" applyNumberFormat="1" applyFont="1" applyBorder="1"/>
    <xf numFmtId="0" fontId="11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10" fontId="14" fillId="0" borderId="0" xfId="3" applyNumberFormat="1" applyFont="1"/>
    <xf numFmtId="0" fontId="2" fillId="0" borderId="22" xfId="0" applyFont="1" applyBorder="1" applyAlignment="1">
      <alignment horizontal="left" wrapText="1" indent="1"/>
    </xf>
    <xf numFmtId="0" fontId="2" fillId="0" borderId="0" xfId="0" applyFont="1" applyAlignment="1">
      <alignment horizontal="right" vertical="top"/>
    </xf>
    <xf numFmtId="40" fontId="9" fillId="0" borderId="0" xfId="0" applyNumberFormat="1" applyFont="1" applyAlignment="1">
      <alignment vertical="top"/>
    </xf>
    <xf numFmtId="40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0" xfId="0" applyFont="1"/>
    <xf numFmtId="0" fontId="2" fillId="0" borderId="25" xfId="0" applyFont="1" applyBorder="1"/>
    <xf numFmtId="0" fontId="13" fillId="0" borderId="0" xfId="0" applyFont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2" xfId="0" applyFont="1" applyBorder="1" applyAlignment="1">
      <alignment horizontal="center" vertical="top"/>
    </xf>
    <xf numFmtId="0" fontId="13" fillId="0" borderId="22" xfId="0" applyFont="1" applyBorder="1" applyAlignment="1">
      <alignment horizontal="left" vertical="top" wrapText="1" indent="1"/>
    </xf>
    <xf numFmtId="0" fontId="13" fillId="0" borderId="0" xfId="0" applyFont="1" applyAlignment="1">
      <alignment vertical="top"/>
    </xf>
    <xf numFmtId="0" fontId="7" fillId="0" borderId="0" xfId="0" applyFont="1"/>
    <xf numFmtId="43" fontId="2" fillId="0" borderId="0" xfId="0" applyNumberFormat="1" applyFont="1"/>
    <xf numFmtId="4" fontId="3" fillId="0" borderId="6" xfId="3" applyNumberFormat="1" applyBorder="1"/>
    <xf numFmtId="4" fontId="3" fillId="0" borderId="11" xfId="3" applyNumberFormat="1" applyBorder="1"/>
    <xf numFmtId="4" fontId="3" fillId="0" borderId="9" xfId="3" applyNumberFormat="1" applyBorder="1" applyAlignment="1">
      <alignment horizontal="right"/>
    </xf>
    <xf numFmtId="43" fontId="7" fillId="0" borderId="0" xfId="0" applyNumberFormat="1" applyFont="1"/>
    <xf numFmtId="1" fontId="13" fillId="0" borderId="22" xfId="0" applyNumberFormat="1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21" xfId="0" applyFont="1" applyBorder="1" applyAlignment="1">
      <alignment vertical="top" wrapText="1"/>
    </xf>
    <xf numFmtId="1" fontId="7" fillId="0" borderId="22" xfId="0" applyNumberFormat="1" applyFont="1" applyBorder="1" applyAlignment="1">
      <alignment horizontal="center" vertical="top"/>
    </xf>
    <xf numFmtId="3" fontId="15" fillId="0" borderId="22" xfId="0" applyNumberFormat="1" applyFont="1" applyBorder="1" applyAlignment="1">
      <alignment vertical="top" wrapText="1"/>
    </xf>
    <xf numFmtId="168" fontId="13" fillId="0" borderId="22" xfId="0" applyNumberFormat="1" applyFont="1" applyBorder="1" applyAlignment="1">
      <alignment horizontal="right" vertical="top"/>
    </xf>
    <xf numFmtId="4" fontId="13" fillId="0" borderId="22" xfId="0" applyNumberFormat="1" applyFont="1" applyBorder="1" applyAlignment="1">
      <alignment horizontal="right" vertical="top"/>
    </xf>
    <xf numFmtId="0" fontId="7" fillId="0" borderId="22" xfId="0" applyFont="1" applyBorder="1" applyAlignment="1">
      <alignment vertical="top" wrapText="1"/>
    </xf>
    <xf numFmtId="168" fontId="13" fillId="0" borderId="22" xfId="0" applyNumberFormat="1" applyFont="1" applyBorder="1" applyAlignment="1">
      <alignment vertical="top"/>
    </xf>
    <xf numFmtId="0" fontId="7" fillId="0" borderId="22" xfId="0" applyFont="1" applyBorder="1" applyAlignment="1">
      <alignment horizontal="right" vertical="top" wrapText="1"/>
    </xf>
    <xf numFmtId="4" fontId="13" fillId="0" borderId="22" xfId="0" applyNumberFormat="1" applyFont="1" applyBorder="1" applyAlignment="1">
      <alignment vertical="top"/>
    </xf>
    <xf numFmtId="4" fontId="7" fillId="0" borderId="23" xfId="0" applyNumberFormat="1" applyFont="1" applyBorder="1" applyAlignment="1">
      <alignment horizontal="right" vertical="top"/>
    </xf>
    <xf numFmtId="0" fontId="16" fillId="0" borderId="2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168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168" fontId="7" fillId="0" borderId="21" xfId="0" applyNumberFormat="1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9" fontId="2" fillId="0" borderId="0" xfId="0" applyNumberFormat="1" applyFont="1"/>
    <xf numFmtId="9" fontId="7" fillId="0" borderId="0" xfId="0" applyNumberFormat="1" applyFont="1"/>
    <xf numFmtId="43" fontId="9" fillId="0" borderId="0" xfId="0" applyNumberFormat="1" applyFont="1" applyAlignment="1">
      <alignment horizontal="center" vertical="top"/>
    </xf>
    <xf numFmtId="43" fontId="2" fillId="0" borderId="0" xfId="0" applyNumberFormat="1" applyFont="1" applyAlignment="1">
      <alignment horizontal="right" vertical="top"/>
    </xf>
    <xf numFmtId="43" fontId="2" fillId="0" borderId="0" xfId="0" applyNumberFormat="1" applyFont="1" applyAlignment="1">
      <alignment vertical="top"/>
    </xf>
    <xf numFmtId="0" fontId="2" fillId="0" borderId="22" xfId="0" applyFont="1" applyBorder="1" applyAlignment="1">
      <alignment horizontal="left" vertical="top" wrapText="1" indent="1"/>
    </xf>
    <xf numFmtId="0" fontId="15" fillId="0" borderId="22" xfId="0" applyFont="1" applyBorder="1" applyAlignment="1">
      <alignment vertical="top" wrapText="1"/>
    </xf>
    <xf numFmtId="0" fontId="5" fillId="0" borderId="5" xfId="3" applyFont="1" applyBorder="1" applyAlignment="1">
      <alignment horizontal="right"/>
    </xf>
    <xf numFmtId="0" fontId="5" fillId="0" borderId="4" xfId="3" applyFont="1" applyBorder="1" applyAlignment="1">
      <alignment horizontal="right"/>
    </xf>
    <xf numFmtId="0" fontId="13" fillId="0" borderId="22" xfId="0" applyFont="1" applyBorder="1" applyAlignment="1">
      <alignment wrapText="1"/>
    </xf>
    <xf numFmtId="0" fontId="13" fillId="0" borderId="22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3" fontId="13" fillId="0" borderId="22" xfId="0" applyNumberFormat="1" applyFont="1" applyBorder="1" applyAlignment="1">
      <alignment wrapText="1"/>
    </xf>
    <xf numFmtId="0" fontId="2" fillId="0" borderId="22" xfId="0" applyFont="1" applyBorder="1" applyAlignment="1">
      <alignment horizontal="left" wrapText="1" indent="2"/>
    </xf>
    <xf numFmtId="41" fontId="2" fillId="0" borderId="22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left" vertical="top" wrapText="1" indent="1"/>
    </xf>
    <xf numFmtId="4" fontId="13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center"/>
    </xf>
    <xf numFmtId="4" fontId="13" fillId="0" borderId="0" xfId="0" applyNumberFormat="1" applyFont="1" applyAlignment="1">
      <alignment horizontal="left" vertical="top" wrapText="1" indent="1"/>
    </xf>
    <xf numFmtId="3" fontId="13" fillId="0" borderId="0" xfId="0" applyNumberFormat="1" applyFont="1" applyAlignment="1">
      <alignment horizontal="center"/>
    </xf>
    <xf numFmtId="3" fontId="0" fillId="0" borderId="0" xfId="8" applyNumberFormat="1" applyFont="1" applyFill="1" applyAlignment="1">
      <alignment horizontal="right" vertical="top"/>
    </xf>
    <xf numFmtId="0" fontId="11" fillId="0" borderId="22" xfId="0" applyFont="1" applyBorder="1" applyAlignment="1">
      <alignment wrapText="1"/>
    </xf>
    <xf numFmtId="4" fontId="0" fillId="0" borderId="0" xfId="8" applyNumberFormat="1" applyFont="1" applyFill="1" applyBorder="1" applyAlignment="1" applyProtection="1">
      <alignment vertical="top" wrapText="1"/>
    </xf>
    <xf numFmtId="4" fontId="13" fillId="0" borderId="0" xfId="8" applyNumberFormat="1" applyFont="1" applyFill="1" applyBorder="1" applyAlignment="1" applyProtection="1">
      <alignment vertical="top" wrapText="1"/>
    </xf>
    <xf numFmtId="4" fontId="3" fillId="0" borderId="26" xfId="3" applyNumberFormat="1" applyBorder="1"/>
    <xf numFmtId="15" fontId="5" fillId="4" borderId="2" xfId="3" applyNumberFormat="1" applyFont="1" applyFill="1" applyBorder="1" applyAlignment="1">
      <alignment horizontal="right"/>
    </xf>
    <xf numFmtId="0" fontId="5" fillId="0" borderId="0" xfId="3" applyFont="1" applyAlignment="1">
      <alignment horizontal="right"/>
    </xf>
    <xf numFmtId="4" fontId="4" fillId="2" borderId="0" xfId="3" applyNumberFormat="1" applyFont="1" applyFill="1" applyAlignment="1">
      <alignment horizontal="center"/>
    </xf>
    <xf numFmtId="0" fontId="18" fillId="0" borderId="22" xfId="0" applyFont="1" applyBorder="1" applyAlignment="1">
      <alignment horizontal="center" vertical="top"/>
    </xf>
    <xf numFmtId="4" fontId="18" fillId="0" borderId="22" xfId="0" applyNumberFormat="1" applyFont="1" applyBorder="1" applyAlignment="1">
      <alignment horizontal="right" vertical="top"/>
    </xf>
    <xf numFmtId="3" fontId="18" fillId="0" borderId="22" xfId="0" applyNumberFormat="1" applyFont="1" applyBorder="1" applyAlignment="1">
      <alignment horizontal="right" vertical="top"/>
    </xf>
    <xf numFmtId="0" fontId="18" fillId="0" borderId="0" xfId="0" applyFont="1" applyAlignment="1">
      <alignment vertical="top" wrapText="1"/>
    </xf>
    <xf numFmtId="3" fontId="2" fillId="0" borderId="22" xfId="0" applyNumberFormat="1" applyFont="1" applyBorder="1" applyAlignment="1">
      <alignment vertical="top" wrapText="1"/>
    </xf>
    <xf numFmtId="4" fontId="13" fillId="0" borderId="0" xfId="8" applyNumberFormat="1" applyFont="1" applyFill="1" applyBorder="1" applyAlignment="1" applyProtection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22" xfId="0" applyBorder="1" applyAlignment="1">
      <alignment horizontal="left" indent="1"/>
    </xf>
    <xf numFmtId="3" fontId="0" fillId="0" borderId="25" xfId="0" applyNumberFormat="1" applyBorder="1" applyAlignment="1">
      <alignment horizontal="right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horizontal="center"/>
    </xf>
    <xf numFmtId="0" fontId="0" fillId="0" borderId="24" xfId="0" applyBorder="1" applyAlignment="1">
      <alignment horizontal="left" indent="1"/>
    </xf>
    <xf numFmtId="0" fontId="13" fillId="0" borderId="22" xfId="0" applyFont="1" applyBorder="1" applyAlignment="1">
      <alignment horizontal="left" indent="1"/>
    </xf>
    <xf numFmtId="0" fontId="2" fillId="0" borderId="22" xfId="0" applyFont="1" applyBorder="1" applyAlignment="1">
      <alignment horizontal="left" wrapText="1"/>
    </xf>
    <xf numFmtId="4" fontId="13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left" vertical="top" wrapText="1"/>
    </xf>
    <xf numFmtId="0" fontId="10" fillId="0" borderId="22" xfId="0" applyFont="1" applyBorder="1" applyAlignment="1">
      <alignment vertical="top" wrapText="1"/>
    </xf>
    <xf numFmtId="4" fontId="4" fillId="2" borderId="1" xfId="3" applyNumberFormat="1" applyFont="1" applyFill="1" applyBorder="1" applyAlignment="1">
      <alignment horizontal="center"/>
    </xf>
    <xf numFmtId="4" fontId="3" fillId="0" borderId="5" xfId="3" applyNumberFormat="1" applyBorder="1"/>
    <xf numFmtId="4" fontId="3" fillId="0" borderId="13" xfId="3" applyNumberFormat="1" applyBorder="1"/>
    <xf numFmtId="3" fontId="3" fillId="0" borderId="3" xfId="3" applyNumberFormat="1" applyBorder="1"/>
    <xf numFmtId="3" fontId="3" fillId="0" borderId="0" xfId="3" applyNumberFormat="1"/>
    <xf numFmtId="4" fontId="3" fillId="0" borderId="0" xfId="3" applyNumberFormat="1" applyAlignment="1">
      <alignment horizontal="right"/>
    </xf>
    <xf numFmtId="0" fontId="19" fillId="0" borderId="0" xfId="3" applyFont="1"/>
    <xf numFmtId="4" fontId="4" fillId="2" borderId="28" xfId="3" applyNumberFormat="1" applyFont="1" applyFill="1" applyBorder="1" applyAlignment="1">
      <alignment horizontal="center"/>
    </xf>
    <xf numFmtId="4" fontId="4" fillId="2" borderId="29" xfId="3" applyNumberFormat="1" applyFont="1" applyFill="1" applyBorder="1" applyAlignment="1">
      <alignment horizontal="center"/>
    </xf>
    <xf numFmtId="4" fontId="4" fillId="2" borderId="30" xfId="3" applyNumberFormat="1" applyFont="1" applyFill="1" applyBorder="1" applyAlignment="1">
      <alignment horizontal="center"/>
    </xf>
    <xf numFmtId="4" fontId="4" fillId="2" borderId="2" xfId="3" applyNumberFormat="1" applyFont="1" applyFill="1" applyBorder="1" applyAlignment="1">
      <alignment horizontal="center"/>
    </xf>
    <xf numFmtId="4" fontId="3" fillId="2" borderId="2" xfId="3" applyNumberFormat="1" applyFill="1" applyBorder="1"/>
    <xf numFmtId="4" fontId="5" fillId="2" borderId="32" xfId="3" applyNumberFormat="1" applyFont="1" applyFill="1" applyBorder="1" applyAlignment="1">
      <alignment horizontal="left"/>
    </xf>
    <xf numFmtId="4" fontId="5" fillId="2" borderId="2" xfId="3" applyNumberFormat="1" applyFont="1" applyFill="1" applyBorder="1" applyAlignment="1">
      <alignment horizontal="left"/>
    </xf>
    <xf numFmtId="4" fontId="5" fillId="2" borderId="2" xfId="3" applyNumberFormat="1" applyFont="1" applyFill="1" applyBorder="1" applyAlignment="1">
      <alignment horizontal="center"/>
    </xf>
    <xf numFmtId="4" fontId="3" fillId="0" borderId="33" xfId="3" applyNumberFormat="1" applyBorder="1"/>
    <xf numFmtId="4" fontId="3" fillId="0" borderId="2" xfId="3" applyNumberFormat="1" applyBorder="1"/>
    <xf numFmtId="4" fontId="3" fillId="0" borderId="31" xfId="3" applyNumberFormat="1" applyBorder="1"/>
    <xf numFmtId="4" fontId="3" fillId="0" borderId="34" xfId="3" applyNumberFormat="1" applyBorder="1"/>
    <xf numFmtId="4" fontId="3" fillId="0" borderId="35" xfId="3" applyNumberFormat="1" applyBorder="1"/>
    <xf numFmtId="4" fontId="3" fillId="0" borderId="36" xfId="3" applyNumberFormat="1" applyBorder="1" applyAlignment="1">
      <alignment horizontal="right"/>
    </xf>
    <xf numFmtId="4" fontId="3" fillId="0" borderId="37" xfId="3" applyNumberFormat="1" applyBorder="1" applyAlignment="1">
      <alignment horizontal="right"/>
    </xf>
    <xf numFmtId="3" fontId="3" fillId="0" borderId="38" xfId="3" applyNumberFormat="1" applyBorder="1"/>
    <xf numFmtId="0" fontId="3" fillId="0" borderId="39" xfId="3" applyBorder="1"/>
    <xf numFmtId="0" fontId="5" fillId="0" borderId="39" xfId="3" applyFont="1" applyBorder="1" applyAlignment="1">
      <alignment horizontal="right"/>
    </xf>
    <xf numFmtId="4" fontId="3" fillId="0" borderId="40" xfId="3" applyNumberFormat="1" applyBorder="1" applyAlignment="1">
      <alignment horizontal="right"/>
    </xf>
    <xf numFmtId="4" fontId="3" fillId="0" borderId="41" xfId="3" applyNumberFormat="1" applyBorder="1" applyAlignment="1">
      <alignment horizontal="right"/>
    </xf>
    <xf numFmtId="166" fontId="3" fillId="0" borderId="0" xfId="3" applyNumberFormat="1" applyAlignment="1">
      <alignment horizontal="left"/>
    </xf>
    <xf numFmtId="0" fontId="3" fillId="3" borderId="0" xfId="3" applyFill="1"/>
    <xf numFmtId="4" fontId="3" fillId="3" borderId="0" xfId="3" applyNumberFormat="1" applyFill="1"/>
    <xf numFmtId="4" fontId="3" fillId="3" borderId="6" xfId="3" applyNumberFormat="1" applyFill="1" applyBorder="1"/>
    <xf numFmtId="4" fontId="3" fillId="3" borderId="8" xfId="3" applyNumberFormat="1" applyFill="1" applyBorder="1"/>
    <xf numFmtId="4" fontId="3" fillId="3" borderId="17" xfId="3" applyNumberFormat="1" applyFill="1" applyBorder="1" applyAlignment="1">
      <alignment horizontal="right"/>
    </xf>
    <xf numFmtId="4" fontId="3" fillId="3" borderId="40" xfId="3" applyNumberFormat="1" applyFill="1" applyBorder="1" applyAlignment="1">
      <alignment horizontal="right"/>
    </xf>
    <xf numFmtId="4" fontId="3" fillId="3" borderId="0" xfId="3" applyNumberFormat="1" applyFill="1" applyAlignment="1">
      <alignment horizontal="center"/>
    </xf>
    <xf numFmtId="3" fontId="20" fillId="5" borderId="0" xfId="3" applyNumberFormat="1" applyFont="1" applyFill="1"/>
    <xf numFmtId="0" fontId="20" fillId="5" borderId="0" xfId="3" applyFont="1" applyFill="1"/>
    <xf numFmtId="4" fontId="3" fillId="3" borderId="0" xfId="3" applyNumberFormat="1" applyFill="1" applyAlignment="1">
      <alignment horizontal="right"/>
    </xf>
    <xf numFmtId="0" fontId="20" fillId="0" borderId="0" xfId="3" applyFont="1"/>
    <xf numFmtId="4" fontId="20" fillId="3" borderId="0" xfId="3" applyNumberFormat="1" applyFont="1" applyFill="1" applyAlignment="1">
      <alignment horizontal="right"/>
    </xf>
    <xf numFmtId="4" fontId="4" fillId="2" borderId="1" xfId="3" applyNumberFormat="1" applyFont="1" applyFill="1" applyBorder="1" applyAlignment="1">
      <alignment horizontal="left" vertical="center"/>
    </xf>
    <xf numFmtId="4" fontId="4" fillId="2" borderId="0" xfId="3" applyNumberFormat="1" applyFont="1" applyFill="1" applyAlignment="1">
      <alignment horizontal="left" vertical="center"/>
    </xf>
    <xf numFmtId="4" fontId="4" fillId="2" borderId="2" xfId="3" applyNumberFormat="1" applyFont="1" applyFill="1" applyBorder="1" applyAlignment="1">
      <alignment horizontal="left" vertical="center"/>
    </xf>
    <xf numFmtId="4" fontId="4" fillId="2" borderId="27" xfId="3" applyNumberFormat="1" applyFont="1" applyFill="1" applyBorder="1" applyAlignment="1">
      <alignment horizontal="center"/>
    </xf>
    <xf numFmtId="4" fontId="4" fillId="2" borderId="15" xfId="3" applyNumberFormat="1" applyFont="1" applyFill="1" applyBorder="1" applyAlignment="1">
      <alignment horizontal="center"/>
    </xf>
    <xf numFmtId="4" fontId="4" fillId="2" borderId="31" xfId="3" applyNumberFormat="1" applyFont="1" applyFill="1" applyBorder="1" applyAlignment="1">
      <alignment horizontal="center"/>
    </xf>
  </cellXfs>
  <cellStyles count="9">
    <cellStyle name="Comma" xfId="8" builtinId="3"/>
    <cellStyle name="Comma 2" xfId="1" xr:uid="{00000000-0005-0000-0000-000001000000}"/>
    <cellStyle name="Comma 2 2" xfId="6" xr:uid="{00000000-0005-0000-0000-000002000000}"/>
    <cellStyle name="Comma 3" xfId="7" xr:uid="{00000000-0005-0000-0000-000003000000}"/>
    <cellStyle name="Comma 4" xfId="5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_elemental cost analysis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62EA2"/>
      <color rgb="FF9C3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901903</xdr:colOff>
      <xdr:row>0</xdr:row>
      <xdr:rowOff>0</xdr:rowOff>
    </xdr:from>
    <xdr:to>
      <xdr:col>9</xdr:col>
      <xdr:colOff>8778</xdr:colOff>
      <xdr:row>2</xdr:row>
      <xdr:rowOff>153275</xdr:rowOff>
    </xdr:to>
    <xdr:pic>
      <xdr:nvPicPr>
        <xdr:cNvPr id="2" name="Picture 1" descr="http://www.drnolans.co.uk/images/project/red_nolans_logo.png">
          <a:extLst>
            <a:ext uri="{FF2B5EF4-FFF2-40B4-BE49-F238E27FC236}">
              <a16:creationId xmlns:a16="http://schemas.microsoft.com/office/drawing/2014/main" id="{36BC00F4-BCD5-41DC-A43D-9E31A781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0811" y="0"/>
          <a:ext cx="2230783" cy="605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LX108"/>
  <sheetViews>
    <sheetView tabSelected="1" showOutlineSymbols="0" view="pageBreakPreview" topLeftCell="A29" zoomScale="87" zoomScaleNormal="87" zoomScaleSheetLayoutView="87" workbookViewId="0">
      <selection activeCell="L60" sqref="L60"/>
    </sheetView>
  </sheetViews>
  <sheetFormatPr defaultColWidth="12.44140625" defaultRowHeight="15" x14ac:dyDescent="0.25"/>
  <cols>
    <col min="1" max="1" width="9.109375" style="1" customWidth="1"/>
    <col min="2" max="2" width="21.5546875" style="1" customWidth="1"/>
    <col min="3" max="3" width="9" style="1" customWidth="1"/>
    <col min="4" max="4" width="7.109375" style="1" customWidth="1"/>
    <col min="5" max="5" width="6.88671875" style="1" customWidth="1"/>
    <col min="6" max="6" width="14.5546875" style="1" customWidth="1"/>
    <col min="7" max="7" width="3.44140625" style="1" customWidth="1"/>
    <col min="8" max="9" width="13.44140625" style="1" customWidth="1"/>
    <col min="10" max="1012" width="12.44140625" style="1"/>
  </cols>
  <sheetData>
    <row r="1" spans="1:9" ht="17.399999999999999" x14ac:dyDescent="0.3">
      <c r="A1" s="231"/>
      <c r="B1" s="232"/>
      <c r="C1" s="232"/>
      <c r="D1" s="232"/>
      <c r="E1" s="232"/>
      <c r="F1" s="232"/>
      <c r="G1" s="232"/>
      <c r="H1" s="232"/>
      <c r="I1" s="233"/>
    </row>
    <row r="2" spans="1:9" ht="17.399999999999999" x14ac:dyDescent="0.3">
      <c r="A2" s="224"/>
      <c r="B2" s="204"/>
      <c r="C2" s="204"/>
      <c r="D2" s="204"/>
      <c r="E2" s="204"/>
      <c r="F2" s="204"/>
      <c r="G2" s="204"/>
      <c r="H2" s="204"/>
      <c r="I2" s="234"/>
    </row>
    <row r="3" spans="1:9" x14ac:dyDescent="0.25">
      <c r="A3" s="264" t="s">
        <v>0</v>
      </c>
      <c r="B3" s="265"/>
      <c r="C3" s="265"/>
      <c r="D3" s="265"/>
      <c r="E3" s="265"/>
      <c r="F3" s="265"/>
      <c r="G3" s="265"/>
      <c r="H3" s="265"/>
      <c r="I3" s="266"/>
    </row>
    <row r="4" spans="1:9" ht="16.5" customHeight="1" x14ac:dyDescent="0.25">
      <c r="A4" s="264"/>
      <c r="B4" s="265"/>
      <c r="C4" s="265"/>
      <c r="D4" s="265"/>
      <c r="E4" s="265"/>
      <c r="F4" s="265"/>
      <c r="G4" s="265"/>
      <c r="H4" s="265"/>
      <c r="I4" s="266"/>
    </row>
    <row r="5" spans="1:9" ht="15.6" x14ac:dyDescent="0.3">
      <c r="A5" s="2" t="s">
        <v>1</v>
      </c>
      <c r="B5" s="3" t="s">
        <v>79</v>
      </c>
      <c r="C5" s="4"/>
      <c r="D5" s="4"/>
      <c r="E5" s="4"/>
      <c r="F5" s="5"/>
      <c r="G5" s="5"/>
      <c r="H5" s="5"/>
      <c r="I5" s="202" t="s">
        <v>350</v>
      </c>
    </row>
    <row r="6" spans="1:9" ht="17.399999999999999" x14ac:dyDescent="0.3">
      <c r="A6" s="267" t="s">
        <v>2</v>
      </c>
      <c r="B6" s="268"/>
      <c r="C6" s="268"/>
      <c r="D6" s="268"/>
      <c r="E6" s="268"/>
      <c r="F6" s="268"/>
      <c r="G6" s="268"/>
      <c r="H6" s="268"/>
      <c r="I6" s="269"/>
    </row>
    <row r="7" spans="1:9" ht="17.399999999999999" x14ac:dyDescent="0.3">
      <c r="A7" s="224"/>
      <c r="B7" s="204"/>
      <c r="C7" s="204"/>
      <c r="D7" s="204"/>
      <c r="E7" s="204"/>
      <c r="F7" s="204"/>
      <c r="G7" s="204"/>
      <c r="H7" s="204"/>
      <c r="I7" s="234"/>
    </row>
    <row r="8" spans="1:9" ht="15.6" x14ac:dyDescent="0.3">
      <c r="A8" s="2" t="s">
        <v>3</v>
      </c>
      <c r="B8" s="3" t="s">
        <v>142</v>
      </c>
      <c r="C8" s="4"/>
      <c r="D8" s="4"/>
      <c r="E8" s="4"/>
      <c r="F8" s="6"/>
      <c r="G8" s="6"/>
      <c r="H8" s="6"/>
      <c r="I8" s="235"/>
    </row>
    <row r="9" spans="1:9" ht="15.6" x14ac:dyDescent="0.3">
      <c r="A9" s="9"/>
      <c r="B9" s="3"/>
      <c r="C9" s="4"/>
      <c r="D9" s="4"/>
      <c r="E9" s="4"/>
      <c r="F9" s="6"/>
      <c r="G9" s="6"/>
      <c r="H9" s="6"/>
      <c r="I9" s="235"/>
    </row>
    <row r="10" spans="1:9" ht="18" x14ac:dyDescent="0.3">
      <c r="A10" s="7" t="s">
        <v>5</v>
      </c>
      <c r="B10" s="8"/>
      <c r="C10" s="8"/>
      <c r="D10" s="8"/>
      <c r="E10" s="10" t="s">
        <v>6</v>
      </c>
      <c r="F10" s="10">
        <v>409</v>
      </c>
      <c r="G10" s="11" t="s">
        <v>7</v>
      </c>
      <c r="H10" s="10">
        <f>F10*10.764</f>
        <v>4402.4759999999997</v>
      </c>
      <c r="I10" s="236" t="s">
        <v>8</v>
      </c>
    </row>
    <row r="11" spans="1:9" ht="15.6" x14ac:dyDescent="0.3">
      <c r="A11" s="2"/>
      <c r="B11" s="3"/>
      <c r="C11" s="3"/>
      <c r="D11" s="4"/>
      <c r="E11" s="12"/>
      <c r="F11" s="14"/>
      <c r="G11" s="13"/>
      <c r="H11" s="12"/>
      <c r="I11" s="237"/>
    </row>
    <row r="12" spans="1:9" ht="15.6" x14ac:dyDescent="0.3">
      <c r="A12" s="2"/>
      <c r="B12" s="3" t="s">
        <v>9</v>
      </c>
      <c r="C12" s="3"/>
      <c r="D12" s="4"/>
      <c r="E12" s="4"/>
      <c r="F12" s="16" t="s">
        <v>10</v>
      </c>
      <c r="G12" s="16"/>
      <c r="H12" s="16" t="s">
        <v>11</v>
      </c>
      <c r="I12" s="238" t="s">
        <v>12</v>
      </c>
    </row>
    <row r="13" spans="1:9" x14ac:dyDescent="0.25">
      <c r="A13" s="227">
        <v>1</v>
      </c>
      <c r="B13" s="17" t="s">
        <v>14</v>
      </c>
      <c r="C13" s="17"/>
      <c r="D13" s="17"/>
      <c r="E13" s="18"/>
      <c r="F13" s="150">
        <f>ROUND(substructure!F29,-3)</f>
        <v>7000</v>
      </c>
      <c r="G13" s="19"/>
      <c r="H13" s="19">
        <f t="shared" ref="H13:H32" si="0">F13/$F$10</f>
        <v>17.114914425427873</v>
      </c>
      <c r="I13" s="239">
        <f>F13/$H$10</f>
        <v>1.5900143464723033</v>
      </c>
    </row>
    <row r="14" spans="1:9" x14ac:dyDescent="0.25">
      <c r="A14" s="227">
        <v>2</v>
      </c>
      <c r="B14" s="17" t="s">
        <v>15</v>
      </c>
      <c r="C14" s="17"/>
      <c r="D14" s="17"/>
      <c r="E14" s="18"/>
      <c r="F14" s="29">
        <f>ROUND(frame!F14,-3)</f>
        <v>33000</v>
      </c>
      <c r="G14" s="21"/>
      <c r="H14" s="201">
        <f t="shared" si="0"/>
        <v>80.684596577017118</v>
      </c>
      <c r="I14" s="240">
        <f t="shared" ref="I14:I38" si="1">F14/$H$10</f>
        <v>7.4957819190837158</v>
      </c>
    </row>
    <row r="15" spans="1:9" x14ac:dyDescent="0.25">
      <c r="A15" s="22">
        <v>3</v>
      </c>
      <c r="B15" s="1" t="s">
        <v>16</v>
      </c>
      <c r="E15" s="23"/>
      <c r="F15" s="29">
        <f>ROUND('upper floors'!F9,-3)</f>
        <v>25000</v>
      </c>
      <c r="G15" s="21"/>
      <c r="H15" s="201">
        <f t="shared" si="0"/>
        <v>61.124694376528119</v>
      </c>
      <c r="I15" s="240">
        <f t="shared" si="1"/>
        <v>5.6786226659725125</v>
      </c>
    </row>
    <row r="16" spans="1:9" x14ac:dyDescent="0.25">
      <c r="A16" s="22">
        <v>4</v>
      </c>
      <c r="B16" s="1" t="s">
        <v>17</v>
      </c>
      <c r="E16" s="23"/>
      <c r="F16" s="29">
        <f>ROUND(roof!F77,-3)</f>
        <v>136000</v>
      </c>
      <c r="G16" s="21"/>
      <c r="H16" s="201">
        <f t="shared" si="0"/>
        <v>332.51833740831296</v>
      </c>
      <c r="I16" s="240">
        <f t="shared" si="1"/>
        <v>30.891707302890467</v>
      </c>
    </row>
    <row r="17" spans="1:9" x14ac:dyDescent="0.25">
      <c r="A17" s="22">
        <v>5</v>
      </c>
      <c r="B17" s="1" t="s">
        <v>18</v>
      </c>
      <c r="E17" s="23"/>
      <c r="F17" s="29">
        <f>ROUND(staircases!F8,-3)</f>
        <v>22000</v>
      </c>
      <c r="G17" s="21"/>
      <c r="H17" s="201">
        <f t="shared" si="0"/>
        <v>53.789731051344745</v>
      </c>
      <c r="I17" s="240">
        <f t="shared" si="1"/>
        <v>4.9971879460558108</v>
      </c>
    </row>
    <row r="18" spans="1:9" x14ac:dyDescent="0.25">
      <c r="A18" s="22">
        <v>6</v>
      </c>
      <c r="B18" s="1" t="s">
        <v>19</v>
      </c>
      <c r="E18" s="23"/>
      <c r="F18" s="29">
        <f>ROUND('ext walls'!F17,-3)</f>
        <v>24000</v>
      </c>
      <c r="G18" s="21"/>
      <c r="H18" s="201">
        <f t="shared" si="0"/>
        <v>58.679706601466989</v>
      </c>
      <c r="I18" s="240">
        <f t="shared" si="1"/>
        <v>5.4514777593336117</v>
      </c>
    </row>
    <row r="19" spans="1:9" x14ac:dyDescent="0.25">
      <c r="A19" s="22">
        <v>7</v>
      </c>
      <c r="B19" s="1" t="s">
        <v>20</v>
      </c>
      <c r="E19" s="23"/>
      <c r="F19" s="29">
        <f>ROUND('wdws &amp; extl drs'!F49,-3)</f>
        <v>65000</v>
      </c>
      <c r="G19" s="21"/>
      <c r="H19" s="201">
        <f t="shared" si="0"/>
        <v>158.92420537897311</v>
      </c>
      <c r="I19" s="240">
        <f t="shared" si="1"/>
        <v>14.764418931528532</v>
      </c>
    </row>
    <row r="20" spans="1:9" x14ac:dyDescent="0.25">
      <c r="A20" s="22">
        <v>8</v>
      </c>
      <c r="B20" s="1" t="s">
        <v>21</v>
      </c>
      <c r="E20" s="23"/>
      <c r="F20" s="29">
        <f>ROUND('int walls'!F21,-3)</f>
        <v>41000</v>
      </c>
      <c r="G20" s="21"/>
      <c r="H20" s="201">
        <f t="shared" si="0"/>
        <v>100.24449877750611</v>
      </c>
      <c r="I20" s="240">
        <f t="shared" si="1"/>
        <v>9.31294117219492</v>
      </c>
    </row>
    <row r="21" spans="1:9" x14ac:dyDescent="0.25">
      <c r="A21" s="22">
        <v>9</v>
      </c>
      <c r="B21" s="1" t="s">
        <v>22</v>
      </c>
      <c r="E21" s="23"/>
      <c r="F21" s="151">
        <f>ROUND('Int doors'!F15,-3)</f>
        <v>32000</v>
      </c>
      <c r="G21" s="24"/>
      <c r="H21" s="24">
        <f t="shared" si="0"/>
        <v>78.239608801955995</v>
      </c>
      <c r="I21" s="241">
        <f t="shared" si="1"/>
        <v>7.2686370124448159</v>
      </c>
    </row>
    <row r="22" spans="1:9" x14ac:dyDescent="0.25">
      <c r="A22" s="227">
        <v>10</v>
      </c>
      <c r="B22" s="17" t="s">
        <v>23</v>
      </c>
      <c r="C22" s="17"/>
      <c r="D22" s="17"/>
      <c r="E22" s="18"/>
      <c r="F22" s="29">
        <f>ROUND('wall finishes'!F15,-3)</f>
        <v>9000</v>
      </c>
      <c r="G22" s="21"/>
      <c r="H22" s="201">
        <f t="shared" si="0"/>
        <v>22.004889975550121</v>
      </c>
      <c r="I22" s="240">
        <f t="shared" si="1"/>
        <v>2.0443041597501046</v>
      </c>
    </row>
    <row r="23" spans="1:9" x14ac:dyDescent="0.25">
      <c r="A23" s="22">
        <v>11</v>
      </c>
      <c r="B23" s="1" t="s">
        <v>24</v>
      </c>
      <c r="E23" s="25"/>
      <c r="F23" s="29">
        <f>ROUND('floor finishes'!F39,-3)</f>
        <v>50000</v>
      </c>
      <c r="G23" s="21"/>
      <c r="H23" s="201">
        <f t="shared" si="0"/>
        <v>122.24938875305624</v>
      </c>
      <c r="I23" s="240">
        <f t="shared" si="1"/>
        <v>11.357245331945025</v>
      </c>
    </row>
    <row r="24" spans="1:9" x14ac:dyDescent="0.25">
      <c r="A24" s="22">
        <v>12</v>
      </c>
      <c r="B24" s="1" t="s">
        <v>25</v>
      </c>
      <c r="E24" s="23"/>
      <c r="F24" s="29">
        <f>ROUND('ceiling finishes'!F11,-3)</f>
        <v>39000</v>
      </c>
      <c r="G24" s="21"/>
      <c r="H24" s="201">
        <f t="shared" si="0"/>
        <v>95.354523227383865</v>
      </c>
      <c r="I24" s="240">
        <f t="shared" si="1"/>
        <v>8.8586513589171183</v>
      </c>
    </row>
    <row r="25" spans="1:9" x14ac:dyDescent="0.25">
      <c r="A25" s="22">
        <v>13</v>
      </c>
      <c r="B25" s="1" t="s">
        <v>349</v>
      </c>
      <c r="E25" s="23"/>
      <c r="F25" s="29">
        <f>ROUND(Decorations!F10,-3)</f>
        <v>26000</v>
      </c>
      <c r="G25" s="21"/>
      <c r="H25" s="201">
        <f t="shared" si="0"/>
        <v>63.569682151589241</v>
      </c>
      <c r="I25" s="241">
        <f t="shared" si="1"/>
        <v>5.9057675726114125</v>
      </c>
    </row>
    <row r="26" spans="1:9" x14ac:dyDescent="0.25">
      <c r="A26" s="227">
        <v>14</v>
      </c>
      <c r="B26" s="17" t="s">
        <v>26</v>
      </c>
      <c r="C26" s="17"/>
      <c r="D26" s="17"/>
      <c r="E26" s="18"/>
      <c r="F26" s="225">
        <f>ROUND(fittings!F19,-3)</f>
        <v>66000</v>
      </c>
      <c r="G26" s="26"/>
      <c r="H26" s="26">
        <f t="shared" si="0"/>
        <v>161.36919315403424</v>
      </c>
      <c r="I26" s="240">
        <f t="shared" si="1"/>
        <v>14.991563838167432</v>
      </c>
    </row>
    <row r="27" spans="1:9" x14ac:dyDescent="0.25">
      <c r="A27" s="22">
        <v>15</v>
      </c>
      <c r="B27" s="1" t="s">
        <v>27</v>
      </c>
      <c r="E27" s="23"/>
      <c r="F27" s="29">
        <f>ROUND(sanitary!F18,-3)</f>
        <v>22000</v>
      </c>
      <c r="G27" s="21"/>
      <c r="H27" s="201">
        <f t="shared" si="0"/>
        <v>53.789731051344745</v>
      </c>
      <c r="I27" s="240">
        <f t="shared" si="1"/>
        <v>4.9971879460558108</v>
      </c>
    </row>
    <row r="28" spans="1:9" x14ac:dyDescent="0.25">
      <c r="A28" s="22">
        <v>16</v>
      </c>
      <c r="B28" s="1" t="s">
        <v>28</v>
      </c>
      <c r="E28" s="23"/>
      <c r="F28" s="29">
        <f>ROUND(mech!F27,-3)</f>
        <v>93000</v>
      </c>
      <c r="G28" s="21"/>
      <c r="H28" s="201">
        <f t="shared" si="0"/>
        <v>227.38386308068459</v>
      </c>
      <c r="I28" s="240">
        <f t="shared" si="1"/>
        <v>21.124476317417745</v>
      </c>
    </row>
    <row r="29" spans="1:9" x14ac:dyDescent="0.25">
      <c r="A29" s="22">
        <v>17</v>
      </c>
      <c r="B29" s="1" t="s">
        <v>29</v>
      </c>
      <c r="E29" s="23"/>
      <c r="F29" s="29">
        <f>ROUND(elec!F32,-3)</f>
        <v>99000</v>
      </c>
      <c r="G29" s="21"/>
      <c r="H29" s="201">
        <f t="shared" si="0"/>
        <v>242.05378973105135</v>
      </c>
      <c r="I29" s="240">
        <f t="shared" si="1"/>
        <v>22.487345757251148</v>
      </c>
    </row>
    <row r="30" spans="1:9" x14ac:dyDescent="0.25">
      <c r="A30" s="22">
        <v>18</v>
      </c>
      <c r="B30" s="1" t="s">
        <v>149</v>
      </c>
      <c r="E30" s="23"/>
      <c r="F30" s="29">
        <f>ROUND(Lifts!F12,-3)</f>
        <v>62000</v>
      </c>
      <c r="G30" s="21"/>
      <c r="H30" s="201">
        <f t="shared" ref="H30" si="2">F30/$F$10</f>
        <v>151.58924205378972</v>
      </c>
      <c r="I30" s="240">
        <f t="shared" ref="I30" si="3">F30/$H$10</f>
        <v>14.08298421161183</v>
      </c>
    </row>
    <row r="31" spans="1:9" x14ac:dyDescent="0.25">
      <c r="A31" s="22">
        <v>19</v>
      </c>
      <c r="B31" s="1" t="s">
        <v>30</v>
      </c>
      <c r="E31" s="23"/>
      <c r="F31" s="29">
        <f>ROUND(bwic!F8,-3)</f>
        <v>16000</v>
      </c>
      <c r="G31" s="21"/>
      <c r="H31" s="24">
        <f t="shared" si="0"/>
        <v>39.119804400977998</v>
      </c>
      <c r="I31" s="241">
        <f t="shared" si="1"/>
        <v>3.6343185062224079</v>
      </c>
    </row>
    <row r="32" spans="1:9" ht="15.6" x14ac:dyDescent="0.3">
      <c r="A32" s="227"/>
      <c r="B32" s="17"/>
      <c r="C32" s="17"/>
      <c r="D32" s="27"/>
      <c r="E32" s="181" t="s">
        <v>31</v>
      </c>
      <c r="F32" s="254">
        <f>SUM(F13:F31)</f>
        <v>867000</v>
      </c>
      <c r="G32" s="19"/>
      <c r="H32" s="20">
        <f t="shared" si="0"/>
        <v>2119.8044009779951</v>
      </c>
      <c r="I32" s="242">
        <f>F32/$H$10</f>
        <v>196.93463405592672</v>
      </c>
    </row>
    <row r="33" spans="1:9" ht="5.0999999999999996" customHeight="1" x14ac:dyDescent="0.3">
      <c r="A33" s="22"/>
      <c r="D33" s="15"/>
      <c r="E33" s="203"/>
      <c r="F33" s="29"/>
      <c r="G33" s="21"/>
      <c r="H33" s="201"/>
      <c r="I33" s="240"/>
    </row>
    <row r="34" spans="1:9" ht="15.6" x14ac:dyDescent="0.3">
      <c r="A34" s="22">
        <v>20</v>
      </c>
      <c r="B34" s="1" t="s">
        <v>32</v>
      </c>
      <c r="D34" s="15"/>
      <c r="E34" s="28"/>
      <c r="F34" s="152">
        <f>ROUND(Repairs!F10,-3)</f>
        <v>12000</v>
      </c>
      <c r="G34" s="21"/>
      <c r="H34" s="201">
        <f t="shared" ref="H34:H38" si="4">F34/$F$10</f>
        <v>29.339853300733495</v>
      </c>
      <c r="I34" s="240">
        <f t="shared" si="1"/>
        <v>2.7257388796668058</v>
      </c>
    </row>
    <row r="35" spans="1:9" ht="15.6" x14ac:dyDescent="0.3">
      <c r="A35" s="22">
        <v>21</v>
      </c>
      <c r="B35" s="1" t="s">
        <v>140</v>
      </c>
      <c r="D35" s="15"/>
      <c r="E35" s="28"/>
      <c r="F35" s="152">
        <f>ROUND('Dems and Alts'!F72,-3)</f>
        <v>48000</v>
      </c>
      <c r="G35" s="21"/>
      <c r="H35" s="201">
        <f t="shared" si="4"/>
        <v>117.35941320293398</v>
      </c>
      <c r="I35" s="240">
        <f t="shared" si="1"/>
        <v>10.902955518667223</v>
      </c>
    </row>
    <row r="36" spans="1:9" ht="15.6" x14ac:dyDescent="0.3">
      <c r="A36" s="22">
        <v>22</v>
      </c>
      <c r="B36" s="1" t="s">
        <v>77</v>
      </c>
      <c r="D36" s="15"/>
      <c r="E36" s="28"/>
      <c r="F36" s="29">
        <f>ROUND('Ext Wks'!F48,-3)</f>
        <v>70000</v>
      </c>
      <c r="G36" s="21"/>
      <c r="H36" s="201">
        <f t="shared" si="4"/>
        <v>171.14914425427872</v>
      </c>
      <c r="I36" s="240">
        <f t="shared" si="1"/>
        <v>15.900143464723035</v>
      </c>
    </row>
    <row r="37" spans="1:9" ht="15.6" x14ac:dyDescent="0.3">
      <c r="A37" s="22">
        <v>23</v>
      </c>
      <c r="B37" s="1" t="s">
        <v>33</v>
      </c>
      <c r="D37" s="15"/>
      <c r="E37" s="28"/>
      <c r="F37" s="21">
        <f>SUM('Incoming Services'!F7)</f>
        <v>5000</v>
      </c>
      <c r="G37" s="21"/>
      <c r="H37" s="21">
        <f t="shared" si="4"/>
        <v>12.224938875305623</v>
      </c>
      <c r="I37" s="240">
        <f t="shared" si="1"/>
        <v>1.1357245331945025</v>
      </c>
    </row>
    <row r="38" spans="1:9" ht="15.6" x14ac:dyDescent="0.3">
      <c r="A38" s="22">
        <v>24</v>
      </c>
      <c r="B38" s="1" t="s">
        <v>348</v>
      </c>
      <c r="D38" s="15"/>
      <c r="E38" s="28"/>
      <c r="F38" s="226">
        <f>ROUND(Access!F12, -3)</f>
        <v>54000</v>
      </c>
      <c r="G38" s="30"/>
      <c r="H38" s="201">
        <f t="shared" si="4"/>
        <v>132.02933985330074</v>
      </c>
      <c r="I38" s="241">
        <f t="shared" si="1"/>
        <v>12.265824958500627</v>
      </c>
    </row>
    <row r="39" spans="1:9" ht="15.6" x14ac:dyDescent="0.3">
      <c r="A39" s="227"/>
      <c r="B39" s="17"/>
      <c r="C39" s="17"/>
      <c r="D39" s="27"/>
      <c r="E39" s="180" t="s">
        <v>34</v>
      </c>
      <c r="F39" s="255">
        <f>SUM(F32:F38)</f>
        <v>1056000</v>
      </c>
      <c r="G39" s="31"/>
      <c r="H39" s="20">
        <f>F39/$F$10</f>
        <v>2581.9070904645478</v>
      </c>
      <c r="I39" s="243">
        <f>F39/$H$10</f>
        <v>239.86502141067891</v>
      </c>
    </row>
    <row r="40" spans="1:9" ht="5.0999999999999996" customHeight="1" x14ac:dyDescent="0.3">
      <c r="A40" s="22"/>
      <c r="D40" s="15"/>
      <c r="E40" s="28"/>
      <c r="F40" s="29"/>
      <c r="G40" s="21"/>
      <c r="H40" s="32"/>
      <c r="I40" s="240"/>
    </row>
    <row r="41" spans="1:9" x14ac:dyDescent="0.25">
      <c r="A41" s="22">
        <v>25</v>
      </c>
      <c r="B41" s="1" t="s">
        <v>94</v>
      </c>
      <c r="C41" s="134">
        <v>0.11</v>
      </c>
      <c r="D41" s="33"/>
      <c r="E41" s="34"/>
      <c r="F41" s="32">
        <f>F39*11%</f>
        <v>116160</v>
      </c>
      <c r="G41" s="21"/>
      <c r="H41" s="201">
        <f>F41/$F$10</f>
        <v>284.00977995110026</v>
      </c>
      <c r="I41" s="240">
        <f t="shared" ref="I41:I43" si="5">F41/$H$10</f>
        <v>26.385152355174682</v>
      </c>
    </row>
    <row r="42" spans="1:9" x14ac:dyDescent="0.25">
      <c r="A42" s="22">
        <v>26</v>
      </c>
      <c r="B42" s="1" t="s">
        <v>35</v>
      </c>
      <c r="C42" s="134">
        <v>7.4999999999999997E-2</v>
      </c>
      <c r="D42" s="33" t="s">
        <v>71</v>
      </c>
      <c r="E42" s="34"/>
      <c r="F42" s="29">
        <f>SUM(F39+F41)*7.5%</f>
        <v>87912</v>
      </c>
      <c r="G42" s="21"/>
      <c r="H42" s="201">
        <f>F42/$F$10</f>
        <v>214.9437652811736</v>
      </c>
      <c r="I42" s="240">
        <f t="shared" si="5"/>
        <v>19.968763032439021</v>
      </c>
    </row>
    <row r="43" spans="1:9" x14ac:dyDescent="0.25">
      <c r="A43" s="22">
        <v>27</v>
      </c>
      <c r="B43" s="1" t="s">
        <v>37</v>
      </c>
      <c r="C43" s="134">
        <v>7.4999999999999997E-2</v>
      </c>
      <c r="D43" s="33"/>
      <c r="E43" s="34"/>
      <c r="F43" s="29">
        <f>SUM(F39+F41+F42)*7.5%</f>
        <v>94505.4</v>
      </c>
      <c r="G43" s="21"/>
      <c r="H43" s="201">
        <f>F43/$F$10</f>
        <v>231.0645476772616</v>
      </c>
      <c r="I43" s="240">
        <f t="shared" si="5"/>
        <v>21.466420259871946</v>
      </c>
    </row>
    <row r="44" spans="1:9" ht="5.0999999999999996" customHeight="1" x14ac:dyDescent="0.25">
      <c r="A44" s="22"/>
      <c r="C44" s="134"/>
      <c r="D44" s="33"/>
      <c r="E44" s="251"/>
      <c r="F44" s="29"/>
      <c r="G44" s="21"/>
      <c r="H44" s="21"/>
      <c r="I44" s="240"/>
    </row>
    <row r="45" spans="1:9" ht="16.2" thickBot="1" x14ac:dyDescent="0.35">
      <c r="A45" s="22"/>
      <c r="B45" s="203"/>
      <c r="C45" s="203"/>
      <c r="D45" s="203"/>
      <c r="E45" s="203" t="s">
        <v>141</v>
      </c>
      <c r="F45" s="256">
        <f>SUM(F39:F43)</f>
        <v>1354577.4</v>
      </c>
      <c r="G45" s="35"/>
      <c r="H45" s="36">
        <f>SUM(H39:H43)</f>
        <v>3311.9251833740832</v>
      </c>
      <c r="I45" s="244">
        <f>SUM(I39:I43)</f>
        <v>307.68535705816453</v>
      </c>
    </row>
    <row r="46" spans="1:9" ht="5.0999999999999996" customHeight="1" thickTop="1" x14ac:dyDescent="0.3">
      <c r="A46" s="22"/>
      <c r="D46" s="15"/>
      <c r="F46" s="37"/>
      <c r="G46" s="37"/>
      <c r="H46" s="37"/>
      <c r="I46" s="245"/>
    </row>
    <row r="47" spans="1:9" ht="15.6" x14ac:dyDescent="0.3">
      <c r="A47" s="22"/>
      <c r="B47" s="1" t="s">
        <v>138</v>
      </c>
      <c r="D47" s="15"/>
      <c r="F47" s="37"/>
      <c r="G47" s="37"/>
      <c r="H47" s="37"/>
      <c r="I47" s="245"/>
    </row>
    <row r="48" spans="1:9" ht="15.6" x14ac:dyDescent="0.3">
      <c r="A48" s="22">
        <v>28</v>
      </c>
      <c r="B48" s="1" t="s">
        <v>330</v>
      </c>
      <c r="D48" s="15"/>
      <c r="F48" s="37"/>
      <c r="G48" s="37"/>
      <c r="H48" s="37"/>
      <c r="I48" s="245"/>
    </row>
    <row r="49" spans="1:9" ht="15.6" x14ac:dyDescent="0.3">
      <c r="A49" s="22"/>
      <c r="B49" s="1" t="s">
        <v>328</v>
      </c>
      <c r="D49" s="15"/>
      <c r="F49" s="37"/>
      <c r="G49" s="37"/>
      <c r="H49" s="37"/>
      <c r="I49" s="245"/>
    </row>
    <row r="50" spans="1:9" ht="15.6" x14ac:dyDescent="0.3">
      <c r="A50" s="22"/>
      <c r="B50" s="1" t="s">
        <v>329</v>
      </c>
      <c r="D50" s="15"/>
      <c r="F50" s="37">
        <f>F45*0.07</f>
        <v>94820.418000000005</v>
      </c>
      <c r="G50" s="37"/>
      <c r="H50" s="201">
        <f>F50/$F$10</f>
        <v>231.83476283618583</v>
      </c>
      <c r="I50" s="240">
        <f t="shared" ref="I50" si="6">F50/$H$10</f>
        <v>21.537974994071522</v>
      </c>
    </row>
    <row r="51" spans="1:9" ht="5.0999999999999996" customHeight="1" x14ac:dyDescent="0.3">
      <c r="A51" s="22"/>
      <c r="D51" s="15"/>
      <c r="F51" s="37"/>
      <c r="G51" s="37"/>
      <c r="H51" s="37"/>
      <c r="I51" s="245"/>
    </row>
    <row r="52" spans="1:9" ht="16.2" thickBot="1" x14ac:dyDescent="0.35">
      <c r="A52" s="246"/>
      <c r="B52" s="247"/>
      <c r="C52" s="247"/>
      <c r="D52" s="248"/>
      <c r="E52" s="248" t="s">
        <v>36</v>
      </c>
      <c r="F52" s="257">
        <f>SUM(F45:F51)</f>
        <v>1449397.818</v>
      </c>
      <c r="G52" s="249"/>
      <c r="H52" s="249">
        <f>SUM(H45:H51)</f>
        <v>3543.7599462102689</v>
      </c>
      <c r="I52" s="250">
        <f>SUM(I45:I51)</f>
        <v>329.22333205223606</v>
      </c>
    </row>
    <row r="53" spans="1:9" ht="15.6" x14ac:dyDescent="0.3">
      <c r="A53" s="228"/>
      <c r="D53" s="203"/>
      <c r="E53" s="203"/>
      <c r="F53" s="261"/>
      <c r="G53" s="229"/>
      <c r="H53" s="229"/>
      <c r="I53" s="229"/>
    </row>
    <row r="54" spans="1:9" ht="15.6" x14ac:dyDescent="0.3">
      <c r="A54" s="228"/>
      <c r="B54" s="1" t="s">
        <v>352</v>
      </c>
      <c r="D54" s="203"/>
      <c r="E54" s="203"/>
      <c r="F54" s="261">
        <f>F52*0.072</f>
        <v>104356.64289599999</v>
      </c>
      <c r="G54" s="229"/>
      <c r="H54" s="229"/>
      <c r="I54" s="229"/>
    </row>
    <row r="55" spans="1:9" ht="15.6" x14ac:dyDescent="0.3">
      <c r="A55" s="228"/>
      <c r="D55" s="203"/>
      <c r="E55" s="203"/>
      <c r="F55" s="261"/>
      <c r="G55" s="229"/>
      <c r="H55" s="229"/>
      <c r="I55" s="229"/>
    </row>
    <row r="56" spans="1:9" ht="15.6" x14ac:dyDescent="0.3">
      <c r="A56" s="228"/>
      <c r="C56" s="262" t="s">
        <v>351</v>
      </c>
      <c r="D56" s="203"/>
      <c r="E56" s="203"/>
      <c r="F56" s="263">
        <f>F52+F54</f>
        <v>1553754.460896</v>
      </c>
      <c r="G56" s="229"/>
      <c r="H56" s="229"/>
      <c r="I56" s="229"/>
    </row>
    <row r="57" spans="1:9" ht="15.6" x14ac:dyDescent="0.3">
      <c r="A57" s="228"/>
      <c r="D57" s="203"/>
      <c r="E57" s="203"/>
      <c r="F57" s="261"/>
      <c r="G57" s="229"/>
      <c r="H57" s="229"/>
      <c r="I57" s="229"/>
    </row>
    <row r="58" spans="1:9" ht="15.6" x14ac:dyDescent="0.3">
      <c r="A58" s="228"/>
      <c r="D58" s="203"/>
      <c r="E58" s="203"/>
      <c r="F58" s="229"/>
      <c r="G58" s="229"/>
      <c r="H58" s="229"/>
      <c r="I58" s="229"/>
    </row>
    <row r="59" spans="1:9" ht="15.6" x14ac:dyDescent="0.3">
      <c r="A59" s="228"/>
      <c r="B59" s="230" t="s">
        <v>345</v>
      </c>
      <c r="D59" s="203"/>
      <c r="E59" s="203"/>
      <c r="F59" s="229"/>
      <c r="G59" s="229"/>
      <c r="H59" s="229"/>
      <c r="I59" s="229"/>
    </row>
    <row r="60" spans="1:9" ht="15.6" x14ac:dyDescent="0.3">
      <c r="A60" s="259"/>
      <c r="B60" s="260" t="s">
        <v>333</v>
      </c>
      <c r="C60" s="260"/>
      <c r="D60" s="260"/>
      <c r="E60" s="260"/>
      <c r="F60" s="259">
        <f>F56*0.2</f>
        <v>310750.89217920002</v>
      </c>
      <c r="G60" s="259"/>
      <c r="H60" s="259"/>
      <c r="I60" s="259"/>
    </row>
    <row r="61" spans="1:9" x14ac:dyDescent="0.25">
      <c r="A61" s="252"/>
      <c r="B61" s="252" t="s">
        <v>334</v>
      </c>
      <c r="C61" s="252"/>
      <c r="D61" s="252"/>
      <c r="E61" s="252"/>
      <c r="F61" s="258"/>
      <c r="G61" s="253"/>
      <c r="H61" s="253"/>
      <c r="I61" s="253"/>
    </row>
    <row r="62" spans="1:9" x14ac:dyDescent="0.25">
      <c r="B62" s="1" t="s">
        <v>335</v>
      </c>
      <c r="F62" s="21"/>
      <c r="G62" s="21"/>
      <c r="H62" s="21"/>
      <c r="I62" s="21"/>
    </row>
    <row r="63" spans="1:9" x14ac:dyDescent="0.25">
      <c r="B63" s="1" t="s">
        <v>336</v>
      </c>
      <c r="F63" s="21"/>
      <c r="G63" s="21"/>
      <c r="H63" s="21"/>
      <c r="I63" s="21"/>
    </row>
    <row r="64" spans="1:9" x14ac:dyDescent="0.25">
      <c r="B64" s="1" t="s">
        <v>337</v>
      </c>
      <c r="F64" s="21"/>
      <c r="G64" s="21"/>
      <c r="H64" s="21"/>
      <c r="I64" s="21"/>
    </row>
    <row r="65" spans="2:9" x14ac:dyDescent="0.25">
      <c r="B65" s="1" t="s">
        <v>338</v>
      </c>
      <c r="F65" s="21"/>
      <c r="G65" s="21"/>
      <c r="H65" s="21"/>
      <c r="I65" s="21"/>
    </row>
    <row r="66" spans="2:9" x14ac:dyDescent="0.25">
      <c r="B66" s="1" t="s">
        <v>339</v>
      </c>
      <c r="F66" s="21"/>
      <c r="G66" s="21"/>
      <c r="H66" s="21"/>
      <c r="I66" s="21"/>
    </row>
    <row r="67" spans="2:9" x14ac:dyDescent="0.25">
      <c r="B67" s="1" t="s">
        <v>340</v>
      </c>
      <c r="F67" s="21"/>
      <c r="G67" s="21"/>
      <c r="H67" s="21"/>
      <c r="I67" s="21"/>
    </row>
    <row r="68" spans="2:9" x14ac:dyDescent="0.25">
      <c r="B68" s="1" t="s">
        <v>341</v>
      </c>
      <c r="F68" s="21"/>
      <c r="G68" s="21"/>
      <c r="H68" s="21"/>
      <c r="I68" s="21"/>
    </row>
    <row r="69" spans="2:9" x14ac:dyDescent="0.25">
      <c r="B69" s="1" t="s">
        <v>342</v>
      </c>
      <c r="F69" s="21"/>
      <c r="G69" s="21"/>
      <c r="H69" s="21"/>
      <c r="I69" s="21"/>
    </row>
    <row r="70" spans="2:9" x14ac:dyDescent="0.25">
      <c r="B70" s="1" t="s">
        <v>343</v>
      </c>
      <c r="F70" s="21"/>
      <c r="G70" s="21"/>
      <c r="H70" s="21"/>
      <c r="I70" s="21"/>
    </row>
    <row r="71" spans="2:9" x14ac:dyDescent="0.25">
      <c r="B71" s="1" t="s">
        <v>344</v>
      </c>
      <c r="F71" s="21"/>
      <c r="G71" s="21"/>
      <c r="H71" s="21"/>
      <c r="I71" s="21"/>
    </row>
    <row r="72" spans="2:9" x14ac:dyDescent="0.25">
      <c r="F72" s="21"/>
      <c r="G72" s="21"/>
      <c r="H72" s="21"/>
      <c r="I72" s="21"/>
    </row>
    <row r="73" spans="2:9" x14ac:dyDescent="0.25">
      <c r="F73" s="21"/>
      <c r="G73" s="21"/>
      <c r="H73" s="21"/>
      <c r="I73" s="21"/>
    </row>
    <row r="74" spans="2:9" x14ac:dyDescent="0.25">
      <c r="F74" s="21"/>
      <c r="G74" s="21"/>
      <c r="H74" s="21"/>
      <c r="I74" s="21"/>
    </row>
    <row r="75" spans="2:9" x14ac:dyDescent="0.25">
      <c r="F75" s="21"/>
      <c r="G75" s="21"/>
      <c r="H75" s="21"/>
      <c r="I75" s="21"/>
    </row>
    <row r="76" spans="2:9" x14ac:dyDescent="0.25">
      <c r="F76" s="21"/>
      <c r="G76" s="21"/>
      <c r="H76" s="21"/>
      <c r="I76" s="21"/>
    </row>
    <row r="77" spans="2:9" x14ac:dyDescent="0.25">
      <c r="F77" s="21"/>
      <c r="G77" s="21"/>
      <c r="H77" s="21"/>
      <c r="I77" s="21"/>
    </row>
    <row r="78" spans="2:9" x14ac:dyDescent="0.25">
      <c r="F78" s="21"/>
      <c r="G78" s="21"/>
      <c r="H78" s="21"/>
      <c r="I78" s="21"/>
    </row>
    <row r="79" spans="2:9" x14ac:dyDescent="0.25">
      <c r="F79" s="21"/>
      <c r="G79" s="21"/>
      <c r="H79" s="21"/>
      <c r="I79" s="21"/>
    </row>
    <row r="80" spans="2:9" x14ac:dyDescent="0.25">
      <c r="F80" s="21"/>
      <c r="G80" s="21"/>
      <c r="H80" s="21"/>
      <c r="I80" s="21"/>
    </row>
    <row r="81" spans="6:9" x14ac:dyDescent="0.25">
      <c r="F81" s="21"/>
      <c r="G81" s="21"/>
      <c r="H81" s="21"/>
      <c r="I81" s="21"/>
    </row>
    <row r="82" spans="6:9" x14ac:dyDescent="0.25">
      <c r="F82" s="21"/>
      <c r="G82" s="21"/>
      <c r="H82" s="21"/>
      <c r="I82" s="21"/>
    </row>
    <row r="83" spans="6:9" x14ac:dyDescent="0.25">
      <c r="F83" s="21"/>
      <c r="G83" s="21"/>
      <c r="H83" s="21"/>
      <c r="I83" s="21"/>
    </row>
    <row r="84" spans="6:9" x14ac:dyDescent="0.25">
      <c r="F84" s="21"/>
      <c r="G84" s="21"/>
      <c r="H84" s="21"/>
      <c r="I84" s="21"/>
    </row>
    <row r="85" spans="6:9" x14ac:dyDescent="0.25">
      <c r="F85" s="21"/>
      <c r="G85" s="21"/>
      <c r="H85" s="21"/>
      <c r="I85" s="21"/>
    </row>
    <row r="86" spans="6:9" x14ac:dyDescent="0.25">
      <c r="F86" s="21"/>
      <c r="G86" s="21"/>
      <c r="H86" s="21"/>
      <c r="I86" s="21"/>
    </row>
    <row r="87" spans="6:9" x14ac:dyDescent="0.25">
      <c r="F87" s="21"/>
      <c r="G87" s="21"/>
      <c r="H87" s="21"/>
      <c r="I87" s="21"/>
    </row>
    <row r="88" spans="6:9" x14ac:dyDescent="0.25">
      <c r="F88" s="21"/>
      <c r="G88" s="21"/>
      <c r="H88" s="21"/>
      <c r="I88" s="21"/>
    </row>
    <row r="89" spans="6:9" x14ac:dyDescent="0.25">
      <c r="F89" s="21"/>
      <c r="G89" s="21"/>
      <c r="H89" s="21"/>
      <c r="I89" s="21"/>
    </row>
    <row r="90" spans="6:9" x14ac:dyDescent="0.25">
      <c r="F90" s="21"/>
      <c r="G90" s="21"/>
      <c r="H90" s="21"/>
      <c r="I90" s="21"/>
    </row>
    <row r="91" spans="6:9" x14ac:dyDescent="0.25">
      <c r="F91" s="21"/>
      <c r="G91" s="21"/>
      <c r="H91" s="21"/>
      <c r="I91" s="21"/>
    </row>
    <row r="92" spans="6:9" x14ac:dyDescent="0.25">
      <c r="F92" s="21"/>
      <c r="G92" s="21"/>
      <c r="H92" s="21"/>
      <c r="I92" s="21"/>
    </row>
    <row r="93" spans="6:9" x14ac:dyDescent="0.25">
      <c r="F93" s="21"/>
      <c r="G93" s="21"/>
      <c r="H93" s="21"/>
      <c r="I93" s="21"/>
    </row>
    <row r="94" spans="6:9" x14ac:dyDescent="0.25">
      <c r="F94" s="21"/>
      <c r="G94" s="21"/>
      <c r="H94" s="21"/>
      <c r="I94" s="21"/>
    </row>
    <row r="95" spans="6:9" x14ac:dyDescent="0.25">
      <c r="F95" s="21"/>
      <c r="G95" s="21"/>
      <c r="H95" s="21"/>
      <c r="I95" s="21"/>
    </row>
    <row r="96" spans="6:9" x14ac:dyDescent="0.25">
      <c r="F96" s="21"/>
      <c r="G96" s="21"/>
      <c r="H96" s="21"/>
      <c r="I96" s="21"/>
    </row>
    <row r="97" spans="6:9" x14ac:dyDescent="0.25">
      <c r="F97" s="21"/>
      <c r="G97" s="21"/>
      <c r="H97" s="21"/>
      <c r="I97" s="21"/>
    </row>
    <row r="98" spans="6:9" x14ac:dyDescent="0.25">
      <c r="F98" s="21"/>
      <c r="G98" s="21"/>
      <c r="H98" s="21"/>
      <c r="I98" s="21"/>
    </row>
    <row r="99" spans="6:9" x14ac:dyDescent="0.25">
      <c r="F99" s="21"/>
      <c r="G99" s="21"/>
      <c r="H99" s="21"/>
      <c r="I99" s="21"/>
    </row>
    <row r="100" spans="6:9" x14ac:dyDescent="0.25">
      <c r="F100" s="21"/>
      <c r="G100" s="21"/>
      <c r="H100" s="21"/>
      <c r="I100" s="21"/>
    </row>
    <row r="101" spans="6:9" x14ac:dyDescent="0.25">
      <c r="F101" s="21"/>
      <c r="G101" s="21"/>
      <c r="H101" s="21"/>
      <c r="I101" s="21"/>
    </row>
    <row r="102" spans="6:9" x14ac:dyDescent="0.25">
      <c r="F102" s="21"/>
      <c r="G102" s="21"/>
      <c r="H102" s="21"/>
      <c r="I102" s="21"/>
    </row>
    <row r="103" spans="6:9" x14ac:dyDescent="0.25">
      <c r="F103" s="21"/>
      <c r="G103" s="21"/>
      <c r="H103" s="21"/>
      <c r="I103" s="21"/>
    </row>
    <row r="104" spans="6:9" x14ac:dyDescent="0.25">
      <c r="F104" s="21"/>
      <c r="G104" s="21"/>
      <c r="H104" s="21"/>
      <c r="I104" s="21"/>
    </row>
    <row r="105" spans="6:9" x14ac:dyDescent="0.25">
      <c r="F105" s="21"/>
      <c r="G105" s="21"/>
      <c r="H105" s="21"/>
      <c r="I105" s="21"/>
    </row>
    <row r="106" spans="6:9" x14ac:dyDescent="0.25">
      <c r="F106" s="21"/>
      <c r="G106" s="21"/>
      <c r="H106" s="21"/>
      <c r="I106" s="21"/>
    </row>
    <row r="107" spans="6:9" x14ac:dyDescent="0.25">
      <c r="F107" s="21"/>
      <c r="G107" s="21"/>
      <c r="H107" s="21"/>
      <c r="I107" s="21"/>
    </row>
    <row r="108" spans="6:9" x14ac:dyDescent="0.25">
      <c r="F108" s="21"/>
      <c r="G108" s="21"/>
      <c r="H108" s="21"/>
      <c r="I108" s="21"/>
    </row>
  </sheetData>
  <mergeCells count="2">
    <mergeCell ref="A3:I4"/>
    <mergeCell ref="A6:I6"/>
  </mergeCells>
  <pageMargins left="0.74803149606299213" right="0.51181102362204722" top="0.74803149606299213" bottom="0.55118110236220474" header="0.51181102362204722" footer="0.51181102362204722"/>
  <pageSetup paperSize="9" scale="74" firstPageNumber="0" orientation="portrait" r:id="rId1"/>
  <rowBreaks count="1" manualBreakCount="1">
    <brk id="5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MJ54"/>
  <sheetViews>
    <sheetView showOutlineSymbols="0" view="pageBreakPreview" zoomScaleNormal="100" zoomScaleSheetLayoutView="100" workbookViewId="0">
      <selection activeCell="C47" sqref="C47"/>
    </sheetView>
  </sheetViews>
  <sheetFormatPr defaultColWidth="9.109375" defaultRowHeight="13.2" x14ac:dyDescent="0.25"/>
  <cols>
    <col min="1" max="1" width="6.5546875" style="77" customWidth="1"/>
    <col min="2" max="2" width="55.88671875" style="78" customWidth="1"/>
    <col min="3" max="3" width="5" style="79" bestFit="1" customWidth="1"/>
    <col min="4" max="4" width="5.44140625" style="80" customWidth="1"/>
    <col min="5" max="5" width="9.5546875" style="81" customWidth="1"/>
    <col min="6" max="6" width="12.88671875" style="142" customWidth="1"/>
    <col min="7" max="12" width="9.109375" style="82"/>
    <col min="13" max="13" width="9.109375" style="149"/>
    <col min="14" max="1024" width="9.109375" style="82"/>
  </cols>
  <sheetData>
    <row r="1" spans="1:13" x14ac:dyDescent="0.25">
      <c r="A1" s="83"/>
      <c r="B1" s="84"/>
      <c r="C1" s="85" t="s">
        <v>38</v>
      </c>
      <c r="D1" s="86" t="s">
        <v>13</v>
      </c>
      <c r="E1" s="87" t="s">
        <v>39</v>
      </c>
      <c r="F1" s="86" t="s">
        <v>4</v>
      </c>
    </row>
    <row r="2" spans="1:13" x14ac:dyDescent="0.25">
      <c r="A2" s="49"/>
      <c r="B2" s="88" t="s">
        <v>52</v>
      </c>
      <c r="C2" s="89"/>
      <c r="D2" s="63"/>
      <c r="E2" s="64"/>
      <c r="F2" s="64"/>
    </row>
    <row r="3" spans="1:13" x14ac:dyDescent="0.25">
      <c r="A3" s="54"/>
      <c r="B3" s="62"/>
      <c r="C3" s="89"/>
      <c r="D3" s="63"/>
      <c r="E3" s="64"/>
      <c r="F3" s="64"/>
    </row>
    <row r="4" spans="1:13" x14ac:dyDescent="0.25">
      <c r="A4" s="54"/>
      <c r="B4" s="198" t="s">
        <v>53</v>
      </c>
      <c r="C4" s="89"/>
      <c r="D4" s="63"/>
      <c r="E4" s="64"/>
      <c r="F4" s="64"/>
    </row>
    <row r="5" spans="1:13" x14ac:dyDescent="0.25">
      <c r="A5" s="54"/>
      <c r="B5" s="62"/>
      <c r="C5" s="89"/>
      <c r="D5" s="63"/>
      <c r="E5" s="64"/>
      <c r="F5" s="64"/>
      <c r="J5" s="138"/>
      <c r="K5" s="138"/>
      <c r="L5" s="139"/>
      <c r="M5" s="175"/>
    </row>
    <row r="6" spans="1:13" x14ac:dyDescent="0.25">
      <c r="A6" s="54"/>
      <c r="B6" s="62" t="s">
        <v>81</v>
      </c>
      <c r="C6" s="89">
        <v>17</v>
      </c>
      <c r="D6" s="63" t="s">
        <v>44</v>
      </c>
      <c r="E6" s="64">
        <v>100</v>
      </c>
      <c r="F6" s="64">
        <f>IF(C6&gt;0,C6*E6,"")</f>
        <v>1700</v>
      </c>
      <c r="J6" s="138"/>
      <c r="K6" s="138"/>
      <c r="L6" s="139"/>
      <c r="M6" s="175"/>
    </row>
    <row r="7" spans="1:13" ht="26.4" x14ac:dyDescent="0.25">
      <c r="A7" s="54"/>
      <c r="B7" s="135" t="s">
        <v>233</v>
      </c>
      <c r="C7" s="89">
        <v>17</v>
      </c>
      <c r="D7" s="63" t="s">
        <v>44</v>
      </c>
      <c r="E7" s="64">
        <v>150</v>
      </c>
      <c r="F7" s="64">
        <f>IF(C7&gt;0,C7*E7,"")</f>
        <v>2550</v>
      </c>
      <c r="J7" s="138"/>
      <c r="K7" s="138"/>
      <c r="L7" s="139"/>
      <c r="M7" s="175"/>
    </row>
    <row r="8" spans="1:13" x14ac:dyDescent="0.25">
      <c r="A8" s="54"/>
      <c r="B8" s="62"/>
      <c r="C8" s="89"/>
      <c r="D8" s="63"/>
      <c r="E8" s="64"/>
      <c r="F8" s="64"/>
      <c r="J8" s="138"/>
      <c r="K8" s="138"/>
      <c r="L8" s="139"/>
      <c r="M8" s="175"/>
    </row>
    <row r="9" spans="1:13" x14ac:dyDescent="0.25">
      <c r="A9" s="54"/>
      <c r="B9" s="62" t="s">
        <v>221</v>
      </c>
      <c r="C9" s="89"/>
      <c r="D9" s="63"/>
      <c r="E9" s="64"/>
      <c r="F9" s="64"/>
      <c r="J9" s="138"/>
      <c r="K9" s="138"/>
      <c r="L9" s="139"/>
      <c r="M9" s="175"/>
    </row>
    <row r="10" spans="1:13" x14ac:dyDescent="0.25">
      <c r="A10" s="54"/>
      <c r="B10" s="135" t="s">
        <v>222</v>
      </c>
      <c r="C10" s="89"/>
      <c r="D10" s="63"/>
      <c r="E10" s="64"/>
      <c r="F10" s="64"/>
      <c r="J10" s="138"/>
      <c r="K10" s="138"/>
      <c r="L10" s="139"/>
      <c r="M10" s="175"/>
    </row>
    <row r="11" spans="1:13" x14ac:dyDescent="0.25">
      <c r="A11" s="54"/>
      <c r="B11" s="190" t="s">
        <v>224</v>
      </c>
      <c r="C11" s="89">
        <f>1.93*2+0.6</f>
        <v>4.46</v>
      </c>
      <c r="D11" s="63" t="s">
        <v>42</v>
      </c>
      <c r="E11" s="64">
        <v>1250</v>
      </c>
      <c r="F11" s="64">
        <f>IF(C11&gt;0,C11*E11,"")</f>
        <v>5575</v>
      </c>
      <c r="J11" s="114"/>
      <c r="K11" s="114"/>
      <c r="L11" s="69"/>
      <c r="M11" s="176"/>
    </row>
    <row r="12" spans="1:13" x14ac:dyDescent="0.25">
      <c r="A12" s="54"/>
      <c r="B12" s="190" t="s">
        <v>230</v>
      </c>
      <c r="C12" s="89">
        <f>2.174*1.416</f>
        <v>3.0783839999999998</v>
      </c>
      <c r="D12" s="63" t="s">
        <v>42</v>
      </c>
      <c r="E12" s="64">
        <v>1000</v>
      </c>
      <c r="F12" s="64">
        <f>IF(C12&gt;0,C12*E12,"")</f>
        <v>3078.384</v>
      </c>
      <c r="J12" s="114"/>
      <c r="K12" s="114"/>
      <c r="L12" s="69"/>
      <c r="M12" s="176"/>
    </row>
    <row r="13" spans="1:13" x14ac:dyDescent="0.25">
      <c r="A13" s="54"/>
      <c r="B13" s="190" t="s">
        <v>225</v>
      </c>
      <c r="C13" s="89">
        <f>0.75*0.75+1.05*1.6+1.328*1</f>
        <v>3.5705</v>
      </c>
      <c r="D13" s="63" t="s">
        <v>42</v>
      </c>
      <c r="E13" s="64">
        <v>900</v>
      </c>
      <c r="F13" s="64">
        <f>IF(C13&gt;0,C13*E13,"")</f>
        <v>3213.45</v>
      </c>
      <c r="J13" s="138"/>
      <c r="K13" s="138"/>
      <c r="L13" s="139"/>
      <c r="M13" s="175"/>
    </row>
    <row r="14" spans="1:13" x14ac:dyDescent="0.25">
      <c r="A14" s="54"/>
      <c r="B14" s="190" t="s">
        <v>226</v>
      </c>
      <c r="C14" s="89">
        <v>1</v>
      </c>
      <c r="D14" s="63" t="s">
        <v>50</v>
      </c>
      <c r="E14" s="64">
        <v>350</v>
      </c>
      <c r="F14" s="64">
        <f>IF(C14&gt;0,C14*E14,"")</f>
        <v>350</v>
      </c>
      <c r="J14" s="138"/>
      <c r="K14" s="138"/>
      <c r="L14" s="139"/>
      <c r="M14" s="175"/>
    </row>
    <row r="15" spans="1:13" x14ac:dyDescent="0.25">
      <c r="A15" s="54"/>
      <c r="B15" s="190"/>
      <c r="C15" s="89"/>
      <c r="D15" s="63"/>
      <c r="E15" s="64"/>
      <c r="F15" s="64"/>
      <c r="J15" s="138"/>
      <c r="K15" s="138"/>
      <c r="L15" s="139"/>
      <c r="M15" s="175"/>
    </row>
    <row r="16" spans="1:13" x14ac:dyDescent="0.25">
      <c r="A16" s="54"/>
      <c r="B16" s="135" t="s">
        <v>223</v>
      </c>
      <c r="C16" s="89"/>
      <c r="D16" s="63"/>
      <c r="E16" s="64"/>
      <c r="F16" s="64"/>
      <c r="J16" s="114"/>
      <c r="K16" s="114"/>
      <c r="L16" s="69"/>
      <c r="M16" s="176"/>
    </row>
    <row r="17" spans="1:13" x14ac:dyDescent="0.25">
      <c r="A17" s="54"/>
      <c r="B17" s="190" t="s">
        <v>224</v>
      </c>
      <c r="C17" s="89">
        <f>3.22+1.41*2+0.6</f>
        <v>6.64</v>
      </c>
      <c r="D17" s="63" t="s">
        <v>42</v>
      </c>
      <c r="E17" s="64">
        <v>1250</v>
      </c>
      <c r="F17" s="64">
        <f>IF(C17&gt;0,C17*E17,"")</f>
        <v>8300</v>
      </c>
      <c r="J17" s="114"/>
      <c r="K17" s="114"/>
      <c r="L17" s="69"/>
      <c r="M17" s="176"/>
    </row>
    <row r="18" spans="1:13" x14ac:dyDescent="0.25">
      <c r="A18" s="54"/>
      <c r="B18" s="190" t="s">
        <v>225</v>
      </c>
      <c r="C18" s="89">
        <f>1.89+1.71+1.32</f>
        <v>4.92</v>
      </c>
      <c r="D18" s="63" t="s">
        <v>42</v>
      </c>
      <c r="E18" s="64">
        <v>900</v>
      </c>
      <c r="F18" s="64">
        <f>IF(C18&gt;0,C18*E18,"")</f>
        <v>4428</v>
      </c>
      <c r="J18" s="114"/>
      <c r="K18" s="114"/>
      <c r="L18" s="69"/>
      <c r="M18" s="176"/>
    </row>
    <row r="19" spans="1:13" x14ac:dyDescent="0.25">
      <c r="A19" s="54"/>
      <c r="B19" s="190" t="s">
        <v>226</v>
      </c>
      <c r="C19" s="89">
        <v>1</v>
      </c>
      <c r="D19" s="63" t="s">
        <v>50</v>
      </c>
      <c r="E19" s="64">
        <v>350</v>
      </c>
      <c r="F19" s="64">
        <f>IF(C19&gt;0,C19*E19,"")</f>
        <v>350</v>
      </c>
      <c r="J19" s="138"/>
      <c r="K19" s="138"/>
      <c r="L19" s="139"/>
      <c r="M19" s="175"/>
    </row>
    <row r="20" spans="1:13" x14ac:dyDescent="0.25">
      <c r="A20" s="54"/>
      <c r="B20" s="190" t="s">
        <v>227</v>
      </c>
      <c r="C20" s="89">
        <v>3</v>
      </c>
      <c r="D20" s="63" t="s">
        <v>50</v>
      </c>
      <c r="E20" s="64">
        <v>500</v>
      </c>
      <c r="F20" s="64">
        <f>IF(C20&gt;0,C20*E20,"")</f>
        <v>1500</v>
      </c>
      <c r="J20" s="114"/>
      <c r="K20" s="114"/>
      <c r="L20" s="69"/>
      <c r="M20" s="176"/>
    </row>
    <row r="21" spans="1:13" x14ac:dyDescent="0.25">
      <c r="A21" s="54"/>
      <c r="B21" s="62"/>
      <c r="C21" s="89"/>
      <c r="D21" s="63"/>
      <c r="E21" s="64"/>
      <c r="F21" s="64"/>
      <c r="J21" s="114"/>
      <c r="K21" s="114"/>
      <c r="L21" s="69"/>
      <c r="M21" s="176"/>
    </row>
    <row r="22" spans="1:13" x14ac:dyDescent="0.25">
      <c r="A22" s="54"/>
      <c r="B22" s="135" t="s">
        <v>228</v>
      </c>
      <c r="C22" s="89"/>
      <c r="D22" s="63"/>
      <c r="E22" s="64"/>
      <c r="F22" s="64"/>
      <c r="J22" s="114"/>
      <c r="K22" s="114"/>
      <c r="L22" s="69"/>
      <c r="M22" s="176"/>
    </row>
    <row r="23" spans="1:13" x14ac:dyDescent="0.25">
      <c r="A23" s="54"/>
      <c r="B23" s="190" t="s">
        <v>224</v>
      </c>
      <c r="C23" s="89">
        <v>3.43</v>
      </c>
      <c r="D23" s="63" t="s">
        <v>42</v>
      </c>
      <c r="E23" s="64">
        <v>1250</v>
      </c>
      <c r="F23" s="64">
        <f>IF(C23&gt;0,C23*E23,"")</f>
        <v>4287.5</v>
      </c>
      <c r="J23" s="114"/>
      <c r="K23" s="114"/>
      <c r="L23" s="69"/>
      <c r="M23" s="176"/>
    </row>
    <row r="24" spans="1:13" x14ac:dyDescent="0.25">
      <c r="A24" s="54"/>
      <c r="B24" s="190" t="s">
        <v>225</v>
      </c>
      <c r="C24" s="89">
        <v>0.67</v>
      </c>
      <c r="D24" s="63" t="s">
        <v>42</v>
      </c>
      <c r="E24" s="64">
        <v>900</v>
      </c>
      <c r="F24" s="64">
        <f>IF(C24&gt;0,C24*E24,"")</f>
        <v>603</v>
      </c>
      <c r="J24" s="114"/>
      <c r="K24" s="114"/>
      <c r="L24" s="69"/>
      <c r="M24" s="176"/>
    </row>
    <row r="25" spans="1:13" x14ac:dyDescent="0.25">
      <c r="A25" s="54"/>
      <c r="B25" s="190" t="s">
        <v>227</v>
      </c>
      <c r="C25" s="89">
        <v>1</v>
      </c>
      <c r="D25" s="63" t="s">
        <v>50</v>
      </c>
      <c r="E25" s="64">
        <v>500</v>
      </c>
      <c r="F25" s="64">
        <f>IF(C25&gt;0,C25*E25,"")</f>
        <v>500</v>
      </c>
      <c r="J25" s="114"/>
      <c r="K25" s="114"/>
      <c r="L25" s="69"/>
      <c r="M25" s="176"/>
    </row>
    <row r="26" spans="1:13" x14ac:dyDescent="0.25">
      <c r="A26" s="54"/>
      <c r="B26" s="62"/>
      <c r="C26" s="89"/>
      <c r="D26" s="63"/>
      <c r="E26" s="64"/>
      <c r="F26" s="64"/>
      <c r="J26" s="114"/>
      <c r="K26" s="114"/>
      <c r="L26" s="69"/>
      <c r="M26" s="176"/>
    </row>
    <row r="27" spans="1:13" x14ac:dyDescent="0.25">
      <c r="A27" s="54"/>
      <c r="B27" s="135" t="s">
        <v>229</v>
      </c>
      <c r="C27" s="89"/>
      <c r="D27" s="63"/>
      <c r="E27" s="64"/>
      <c r="F27" s="64"/>
      <c r="J27" s="114"/>
      <c r="K27" s="114"/>
      <c r="L27" s="69"/>
      <c r="M27" s="176"/>
    </row>
    <row r="28" spans="1:13" x14ac:dyDescent="0.25">
      <c r="A28" s="54"/>
      <c r="B28" s="190" t="s">
        <v>224</v>
      </c>
      <c r="C28" s="89">
        <f>2.68</f>
        <v>2.68</v>
      </c>
      <c r="D28" s="63" t="s">
        <v>42</v>
      </c>
      <c r="E28" s="64">
        <v>1250</v>
      </c>
      <c r="F28" s="64">
        <f>IF(C28&gt;0,C28*E28,"")</f>
        <v>3350</v>
      </c>
      <c r="J28" s="114"/>
      <c r="K28" s="114"/>
      <c r="L28" s="69"/>
      <c r="M28" s="176"/>
    </row>
    <row r="29" spans="1:13" x14ac:dyDescent="0.25">
      <c r="A29" s="54"/>
      <c r="B29" s="190" t="s">
        <v>230</v>
      </c>
      <c r="C29" s="89">
        <v>2.87</v>
      </c>
      <c r="D29" s="63" t="s">
        <v>42</v>
      </c>
      <c r="E29" s="64">
        <v>1000</v>
      </c>
      <c r="F29" s="64">
        <f>IF(C29&gt;0,C29*E29,"")</f>
        <v>2870</v>
      </c>
      <c r="J29" s="114"/>
      <c r="K29" s="114"/>
      <c r="L29" s="69"/>
      <c r="M29" s="176"/>
    </row>
    <row r="30" spans="1:13" x14ac:dyDescent="0.25">
      <c r="A30" s="54"/>
      <c r="B30" s="190" t="s">
        <v>225</v>
      </c>
      <c r="C30" s="89">
        <f>1.84+0.45+0.83+0.64+0.4</f>
        <v>4.16</v>
      </c>
      <c r="D30" s="63" t="s">
        <v>42</v>
      </c>
      <c r="E30" s="64">
        <v>900</v>
      </c>
      <c r="F30" s="64">
        <f>IF(C30&gt;0,C30*E30,"")</f>
        <v>3744</v>
      </c>
      <c r="J30" s="114"/>
      <c r="K30" s="114"/>
      <c r="L30" s="69"/>
      <c r="M30" s="176"/>
    </row>
    <row r="31" spans="1:13" x14ac:dyDescent="0.25">
      <c r="A31" s="54"/>
      <c r="B31" s="62"/>
      <c r="C31" s="89"/>
      <c r="D31" s="63"/>
      <c r="E31" s="64"/>
      <c r="F31" s="64"/>
      <c r="J31" s="114"/>
      <c r="K31" s="114"/>
      <c r="L31" s="69"/>
      <c r="M31" s="176"/>
    </row>
    <row r="32" spans="1:13" ht="26.4" x14ac:dyDescent="0.25">
      <c r="A32" s="54"/>
      <c r="B32" s="62" t="s">
        <v>234</v>
      </c>
      <c r="C32" s="89">
        <v>1</v>
      </c>
      <c r="D32" s="63" t="s">
        <v>69</v>
      </c>
      <c r="E32" s="64">
        <f>8*500</f>
        <v>4000</v>
      </c>
      <c r="F32" s="64">
        <f>IF(C32&gt;0,C32*E32,"")</f>
        <v>4000</v>
      </c>
      <c r="J32" s="114"/>
      <c r="K32" s="114"/>
      <c r="L32" s="69"/>
      <c r="M32" s="176"/>
    </row>
    <row r="33" spans="1:13" x14ac:dyDescent="0.25">
      <c r="A33" s="54"/>
      <c r="B33" s="62"/>
      <c r="C33" s="89"/>
      <c r="D33" s="63"/>
      <c r="E33" s="64"/>
      <c r="F33" s="64"/>
      <c r="J33" s="114"/>
      <c r="K33" s="114"/>
      <c r="L33" s="69"/>
      <c r="M33" s="176"/>
    </row>
    <row r="34" spans="1:13" ht="26.4" x14ac:dyDescent="0.25">
      <c r="A34" s="54"/>
      <c r="B34" s="62" t="s">
        <v>318</v>
      </c>
      <c r="C34" s="89">
        <v>3</v>
      </c>
      <c r="D34" s="63" t="s">
        <v>44</v>
      </c>
      <c r="E34" s="64">
        <v>1500</v>
      </c>
      <c r="F34" s="64">
        <f>IF(C34&gt;0,C34*E34,"")</f>
        <v>4500</v>
      </c>
      <c r="J34" s="114"/>
      <c r="K34" s="114"/>
      <c r="L34" s="69"/>
      <c r="M34" s="176"/>
    </row>
    <row r="35" spans="1:13" x14ac:dyDescent="0.25">
      <c r="A35" s="54"/>
      <c r="B35" s="62"/>
      <c r="C35" s="89"/>
      <c r="D35" s="63"/>
      <c r="E35" s="64"/>
      <c r="F35" s="64"/>
      <c r="J35" s="114"/>
      <c r="K35" s="114"/>
      <c r="L35" s="69"/>
      <c r="M35" s="176"/>
    </row>
    <row r="36" spans="1:13" x14ac:dyDescent="0.25">
      <c r="A36" s="54"/>
      <c r="B36" s="198" t="s">
        <v>117</v>
      </c>
      <c r="C36" s="89"/>
      <c r="D36" s="63"/>
      <c r="E36" s="64"/>
      <c r="F36" s="64"/>
      <c r="J36" s="114"/>
      <c r="K36" s="114"/>
      <c r="L36" s="69"/>
      <c r="M36" s="176"/>
    </row>
    <row r="37" spans="1:13" x14ac:dyDescent="0.25">
      <c r="A37" s="54"/>
      <c r="B37" s="198"/>
      <c r="C37" s="89"/>
      <c r="D37" s="63"/>
      <c r="E37" s="64"/>
      <c r="F37" s="64"/>
      <c r="J37" s="114"/>
      <c r="K37" s="114"/>
      <c r="L37" s="69"/>
      <c r="M37" s="176"/>
    </row>
    <row r="38" spans="1:13" x14ac:dyDescent="0.25">
      <c r="A38" s="54"/>
      <c r="B38" s="62" t="s">
        <v>118</v>
      </c>
      <c r="C38" s="89">
        <v>1</v>
      </c>
      <c r="D38" s="63" t="s">
        <v>69</v>
      </c>
      <c r="E38" s="64">
        <v>75</v>
      </c>
      <c r="F38" s="64">
        <f t="shared" ref="F38" si="0">IF(C38&gt;0,C38*E38,"")</f>
        <v>75</v>
      </c>
      <c r="J38" s="114"/>
      <c r="K38" s="114"/>
      <c r="L38" s="69"/>
      <c r="M38" s="176"/>
    </row>
    <row r="39" spans="1:13" x14ac:dyDescent="0.25">
      <c r="A39" s="54"/>
      <c r="B39" s="62"/>
      <c r="C39" s="89"/>
      <c r="D39" s="63"/>
      <c r="E39" s="64"/>
      <c r="F39" s="64"/>
      <c r="J39" s="114"/>
      <c r="K39" s="114"/>
      <c r="L39" s="69"/>
      <c r="M39" s="176"/>
    </row>
    <row r="40" spans="1:13" x14ac:dyDescent="0.25">
      <c r="A40" s="54"/>
      <c r="B40" s="62" t="s">
        <v>220</v>
      </c>
      <c r="C40" s="89">
        <v>1</v>
      </c>
      <c r="D40" s="63" t="s">
        <v>69</v>
      </c>
      <c r="E40" s="64">
        <v>150</v>
      </c>
      <c r="F40" s="64">
        <f t="shared" ref="F40" si="1">IF(C40&gt;0,C40*E40,"")</f>
        <v>150</v>
      </c>
      <c r="J40" s="114"/>
      <c r="K40" s="114"/>
      <c r="L40" s="69"/>
      <c r="M40" s="176"/>
    </row>
    <row r="41" spans="1:13" x14ac:dyDescent="0.25">
      <c r="A41" s="54"/>
      <c r="B41" s="62"/>
      <c r="C41" s="89"/>
      <c r="D41" s="63"/>
      <c r="E41" s="64"/>
      <c r="F41" s="64"/>
      <c r="J41" s="114"/>
      <c r="K41" s="114"/>
      <c r="L41" s="69"/>
      <c r="M41" s="176"/>
    </row>
    <row r="42" spans="1:13" x14ac:dyDescent="0.25">
      <c r="A42" s="54"/>
      <c r="B42" s="62" t="s">
        <v>231</v>
      </c>
      <c r="C42" s="116">
        <v>1</v>
      </c>
      <c r="D42" s="109" t="s">
        <v>50</v>
      </c>
      <c r="E42" s="116">
        <f>1.5*2.2*1000</f>
        <v>3300.0000000000005</v>
      </c>
      <c r="F42" s="93">
        <f>IF(C42&gt;0,C42*E42,"")</f>
        <v>3300.0000000000005</v>
      </c>
      <c r="M42" s="82"/>
    </row>
    <row r="43" spans="1:13" x14ac:dyDescent="0.25">
      <c r="A43" s="54"/>
      <c r="B43" s="62"/>
      <c r="C43" s="116"/>
      <c r="D43" s="109"/>
      <c r="E43" s="117"/>
      <c r="F43" s="93"/>
      <c r="M43" s="82"/>
    </row>
    <row r="44" spans="1:13" ht="26.4" x14ac:dyDescent="0.25">
      <c r="A44" s="54"/>
      <c r="B44" s="62" t="s">
        <v>232</v>
      </c>
      <c r="C44" s="116">
        <v>1</v>
      </c>
      <c r="D44" s="109" t="s">
        <v>50</v>
      </c>
      <c r="E44" s="117">
        <f>1.583*2.8*1150</f>
        <v>5097.2599999999993</v>
      </c>
      <c r="F44" s="93">
        <f>IF(C44&gt;0,C44*E44,"")</f>
        <v>5097.2599999999993</v>
      </c>
      <c r="M44" s="82"/>
    </row>
    <row r="45" spans="1:13" x14ac:dyDescent="0.25">
      <c r="A45" s="54"/>
      <c r="B45" s="62"/>
      <c r="C45" s="116"/>
      <c r="D45" s="109"/>
      <c r="E45" s="117"/>
      <c r="F45" s="93"/>
      <c r="M45" s="82"/>
    </row>
    <row r="46" spans="1:13" x14ac:dyDescent="0.25">
      <c r="A46" s="54"/>
      <c r="B46" s="62" t="s">
        <v>219</v>
      </c>
      <c r="C46" s="116">
        <v>1</v>
      </c>
      <c r="D46" s="109" t="s">
        <v>50</v>
      </c>
      <c r="E46" s="117">
        <v>1150</v>
      </c>
      <c r="F46" s="93">
        <f>IF(C46&gt;0,C46*E46,"")</f>
        <v>1150</v>
      </c>
      <c r="M46" s="82"/>
    </row>
    <row r="47" spans="1:13" x14ac:dyDescent="0.25">
      <c r="A47" s="54"/>
      <c r="B47" s="62"/>
      <c r="C47" s="89"/>
      <c r="D47" s="63"/>
      <c r="E47" s="64"/>
      <c r="F47" s="64"/>
      <c r="J47" s="148"/>
    </row>
    <row r="48" spans="1:13" x14ac:dyDescent="0.25">
      <c r="A48" s="54"/>
      <c r="B48" s="62"/>
      <c r="C48" s="89"/>
      <c r="D48" s="63"/>
      <c r="E48" s="64"/>
      <c r="F48" s="64"/>
      <c r="K48" s="114"/>
      <c r="L48" s="69"/>
      <c r="M48" s="176"/>
    </row>
    <row r="49" spans="1:26" ht="13.8" thickBot="1" x14ac:dyDescent="0.3">
      <c r="A49" s="57"/>
      <c r="B49" s="65" t="s">
        <v>137</v>
      </c>
      <c r="C49" s="90"/>
      <c r="D49" s="63"/>
      <c r="E49" s="91"/>
      <c r="F49" s="92">
        <f>SUM(F2:F48)</f>
        <v>64671.594000000005</v>
      </c>
      <c r="K49" s="114"/>
      <c r="L49" s="69"/>
      <c r="M49" s="176"/>
    </row>
    <row r="50" spans="1:26" s="69" customFormat="1" ht="13.8" thickTop="1" x14ac:dyDescent="0.25">
      <c r="A50" s="57"/>
      <c r="B50" s="55"/>
      <c r="C50" s="61"/>
      <c r="D50" s="57"/>
      <c r="E50" s="60"/>
      <c r="F50" s="64"/>
      <c r="M50" s="177"/>
      <c r="N50" s="140"/>
      <c r="O50" s="140"/>
      <c r="P50" s="140"/>
      <c r="S50"/>
      <c r="T50"/>
      <c r="Y50" s="82"/>
      <c r="Z50" s="82"/>
    </row>
    <row r="51" spans="1:26" x14ac:dyDescent="0.25">
      <c r="S51" s="69"/>
      <c r="Z51" s="69"/>
    </row>
    <row r="52" spans="1:26" x14ac:dyDescent="0.25">
      <c r="S52" s="69"/>
    </row>
    <row r="53" spans="1:26" x14ac:dyDescent="0.25">
      <c r="S53" s="69"/>
    </row>
    <row r="54" spans="1:26" x14ac:dyDescent="0.25">
      <c r="S54" s="69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MD22"/>
  <sheetViews>
    <sheetView showOutlineSymbols="0" view="pageBreakPreview" zoomScaleNormal="100" zoomScaleSheetLayoutView="100" workbookViewId="0">
      <selection activeCell="D8" sqref="D8"/>
    </sheetView>
  </sheetViews>
  <sheetFormatPr defaultColWidth="9.109375" defaultRowHeight="13.2" x14ac:dyDescent="0.25"/>
  <cols>
    <col min="1" max="1" width="6.88671875" style="77" customWidth="1"/>
    <col min="2" max="2" width="55.88671875" style="78" customWidth="1"/>
    <col min="3" max="3" width="5.109375" style="79" bestFit="1" customWidth="1"/>
    <col min="4" max="4" width="5.44140625" style="80" customWidth="1"/>
    <col min="5" max="5" width="9.5546875" style="81" customWidth="1"/>
    <col min="6" max="6" width="11.5546875" style="82" customWidth="1"/>
    <col min="7" max="1018" width="9.109375" style="82"/>
  </cols>
  <sheetData>
    <row r="1" spans="1:6" x14ac:dyDescent="0.25">
      <c r="A1" s="83"/>
      <c r="B1" s="84"/>
      <c r="C1" s="85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54</v>
      </c>
      <c r="C2" s="89"/>
      <c r="D2" s="63"/>
      <c r="E2" s="64"/>
      <c r="F2" s="64"/>
    </row>
    <row r="3" spans="1:6" x14ac:dyDescent="0.25">
      <c r="A3" s="54"/>
      <c r="B3" s="62"/>
      <c r="C3" s="89"/>
      <c r="D3" s="63"/>
      <c r="E3" s="64"/>
      <c r="F3" s="64"/>
    </row>
    <row r="4" spans="1:6" ht="26.4" x14ac:dyDescent="0.25">
      <c r="A4" s="54"/>
      <c r="B4" s="62" t="s">
        <v>235</v>
      </c>
      <c r="C4" s="89"/>
      <c r="D4" s="63"/>
      <c r="E4" s="64"/>
      <c r="F4" s="64"/>
    </row>
    <row r="5" spans="1:6" x14ac:dyDescent="0.25">
      <c r="A5" s="54"/>
      <c r="B5" s="135" t="s">
        <v>80</v>
      </c>
      <c r="C5" s="89">
        <f>(4.5*2+4+3.5+4.8+2.7)*3.3</f>
        <v>79.199999999999989</v>
      </c>
      <c r="D5" s="63" t="s">
        <v>42</v>
      </c>
      <c r="E5" s="64">
        <f>45+17.5*2+15*2+20</f>
        <v>130</v>
      </c>
      <c r="F5" s="64">
        <f t="shared" ref="F5:F18" si="0">IF(C5&gt;0,C5*E5,"")</f>
        <v>10295.999999999998</v>
      </c>
    </row>
    <row r="6" spans="1:6" x14ac:dyDescent="0.25">
      <c r="A6" s="54"/>
      <c r="B6" s="135"/>
      <c r="C6" s="89"/>
      <c r="D6" s="63"/>
      <c r="E6" s="64"/>
      <c r="F6" s="64"/>
    </row>
    <row r="7" spans="1:6" ht="26.4" x14ac:dyDescent="0.25">
      <c r="A7" s="54"/>
      <c r="B7" s="218" t="s">
        <v>238</v>
      </c>
      <c r="C7" s="89">
        <v>1</v>
      </c>
      <c r="D7" s="63" t="s">
        <v>50</v>
      </c>
      <c r="E7" s="64">
        <v>500</v>
      </c>
      <c r="F7" s="64">
        <f t="shared" si="0"/>
        <v>500</v>
      </c>
    </row>
    <row r="8" spans="1:6" x14ac:dyDescent="0.25">
      <c r="A8" s="54"/>
      <c r="B8" s="135"/>
      <c r="C8" s="89"/>
      <c r="D8" s="63"/>
      <c r="E8" s="64"/>
      <c r="F8" s="64"/>
    </row>
    <row r="9" spans="1:6" ht="26.4" x14ac:dyDescent="0.25">
      <c r="A9" s="54"/>
      <c r="B9" s="62" t="s">
        <v>237</v>
      </c>
      <c r="C9" s="89"/>
      <c r="D9" s="63"/>
      <c r="E9" s="64"/>
      <c r="F9" s="64"/>
    </row>
    <row r="10" spans="1:6" x14ac:dyDescent="0.25">
      <c r="A10" s="54"/>
      <c r="B10" s="135" t="s">
        <v>83</v>
      </c>
      <c r="C10" s="89">
        <f>(5.6*2+11.8+4.4+1.4+5.2+3.2+3.1+7.7*2+1+7.2+1.8*2)*1.5</f>
        <v>101.25</v>
      </c>
      <c r="D10" s="63" t="s">
        <v>42</v>
      </c>
      <c r="E10" s="64">
        <f>45+17.5*2+15+20</f>
        <v>115</v>
      </c>
      <c r="F10" s="64">
        <f t="shared" si="0"/>
        <v>11643.75</v>
      </c>
    </row>
    <row r="11" spans="1:6" x14ac:dyDescent="0.25">
      <c r="A11" s="54"/>
      <c r="B11" s="135"/>
      <c r="C11" s="89"/>
      <c r="D11" s="63"/>
      <c r="E11" s="64"/>
      <c r="F11" s="64"/>
    </row>
    <row r="12" spans="1:6" ht="26.4" x14ac:dyDescent="0.25">
      <c r="A12" s="54"/>
      <c r="B12" s="62" t="s">
        <v>235</v>
      </c>
      <c r="C12" s="89"/>
      <c r="D12" s="63"/>
      <c r="E12" s="64"/>
      <c r="F12" s="64"/>
    </row>
    <row r="13" spans="1:6" x14ac:dyDescent="0.25">
      <c r="A13" s="54"/>
      <c r="B13" s="135" t="s">
        <v>83</v>
      </c>
      <c r="C13" s="89">
        <f>(2.5+3.4+2.2+4.1+1.7+1.2+3.9+2.5)*2.6</f>
        <v>55.9</v>
      </c>
      <c r="D13" s="63" t="s">
        <v>42</v>
      </c>
      <c r="E13" s="64">
        <f>45+17.5*2+15*2+20</f>
        <v>130</v>
      </c>
      <c r="F13" s="64">
        <f t="shared" ref="F13:F16" si="1">IF(C13&gt;0,C13*E13,"")</f>
        <v>7267</v>
      </c>
    </row>
    <row r="14" spans="1:6" x14ac:dyDescent="0.25">
      <c r="A14" s="54"/>
      <c r="B14" s="135"/>
      <c r="C14" s="89"/>
      <c r="D14" s="63"/>
      <c r="E14" s="64"/>
      <c r="F14" s="64"/>
    </row>
    <row r="15" spans="1:6" ht="26.4" x14ac:dyDescent="0.25">
      <c r="A15" s="54"/>
      <c r="B15" s="218" t="s">
        <v>241</v>
      </c>
      <c r="C15" s="89">
        <f>3*3.3</f>
        <v>9.8999999999999986</v>
      </c>
      <c r="D15" s="63" t="s">
        <v>42</v>
      </c>
      <c r="E15" s="64">
        <f>25+20+30</f>
        <v>75</v>
      </c>
      <c r="F15" s="64">
        <f t="shared" si="1"/>
        <v>742.49999999999989</v>
      </c>
    </row>
    <row r="16" spans="1:6" x14ac:dyDescent="0.25">
      <c r="A16" s="54"/>
      <c r="B16" s="135" t="s">
        <v>240</v>
      </c>
      <c r="C16" s="89">
        <f>3*2+3.3*2</f>
        <v>12.6</v>
      </c>
      <c r="D16" s="63" t="s">
        <v>41</v>
      </c>
      <c r="E16" s="64">
        <v>35</v>
      </c>
      <c r="F16" s="64">
        <f t="shared" si="1"/>
        <v>441</v>
      </c>
    </row>
    <row r="17" spans="1:6" x14ac:dyDescent="0.25">
      <c r="A17" s="54"/>
      <c r="B17" s="135"/>
      <c r="C17" s="89"/>
      <c r="D17" s="63"/>
      <c r="E17" s="64"/>
      <c r="F17" s="64"/>
    </row>
    <row r="18" spans="1:6" x14ac:dyDescent="0.25">
      <c r="A18" s="54"/>
      <c r="B18" s="218" t="s">
        <v>236</v>
      </c>
      <c r="C18" s="89">
        <v>1</v>
      </c>
      <c r="D18" s="63" t="s">
        <v>50</v>
      </c>
      <c r="E18" s="64">
        <v>10000</v>
      </c>
      <c r="F18" s="64">
        <f t="shared" si="0"/>
        <v>10000</v>
      </c>
    </row>
    <row r="19" spans="1:6" x14ac:dyDescent="0.25">
      <c r="A19" s="54"/>
      <c r="B19" s="62"/>
      <c r="C19" s="89"/>
      <c r="D19" s="63"/>
      <c r="E19" s="64"/>
      <c r="F19" s="64"/>
    </row>
    <row r="20" spans="1:6" x14ac:dyDescent="0.25">
      <c r="A20" s="57"/>
      <c r="B20" s="62"/>
      <c r="C20" s="89"/>
      <c r="D20" s="63"/>
      <c r="E20" s="64"/>
      <c r="F20" s="64" t="str">
        <f t="shared" ref="F20" si="2">IF(C20&gt;0,C20*E20,"")</f>
        <v/>
      </c>
    </row>
    <row r="21" spans="1:6" ht="13.8" thickBot="1" x14ac:dyDescent="0.3">
      <c r="A21" s="57"/>
      <c r="B21" s="65" t="s">
        <v>137</v>
      </c>
      <c r="C21" s="90"/>
      <c r="D21" s="63"/>
      <c r="E21" s="91"/>
      <c r="F21" s="92">
        <f>SUM(F2:F20)</f>
        <v>40890.25</v>
      </c>
    </row>
    <row r="22" spans="1:6" ht="13.8" thickTop="1" x14ac:dyDescent="0.25">
      <c r="A22" s="57"/>
      <c r="B22" s="65"/>
      <c r="C22" s="90"/>
      <c r="D22" s="63"/>
      <c r="E22" s="91"/>
      <c r="F22" s="119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MJ16"/>
  <sheetViews>
    <sheetView showOutlineSymbols="0" view="pageBreakPreview" zoomScaleNormal="100" zoomScaleSheetLayoutView="100" workbookViewId="0">
      <selection activeCell="F21" sqref="F21"/>
    </sheetView>
  </sheetViews>
  <sheetFormatPr defaultColWidth="9.109375" defaultRowHeight="13.2" x14ac:dyDescent="0.25"/>
  <cols>
    <col min="1" max="1" width="7.109375" style="77" customWidth="1"/>
    <col min="2" max="2" width="55.88671875" style="78" customWidth="1"/>
    <col min="3" max="3" width="5" style="79" bestFit="1" customWidth="1"/>
    <col min="4" max="4" width="5.44140625" style="80" customWidth="1"/>
    <col min="5" max="5" width="9.5546875" style="81" customWidth="1"/>
    <col min="6" max="6" width="11.5546875" style="82" customWidth="1"/>
    <col min="7" max="1024" width="9.109375" style="82"/>
  </cols>
  <sheetData>
    <row r="1" spans="1:12" x14ac:dyDescent="0.25">
      <c r="A1" s="83"/>
      <c r="B1" s="84"/>
      <c r="C1" s="85" t="s">
        <v>38</v>
      </c>
      <c r="D1" s="86" t="s">
        <v>13</v>
      </c>
      <c r="E1" s="87" t="s">
        <v>39</v>
      </c>
      <c r="F1" s="86" t="s">
        <v>4</v>
      </c>
    </row>
    <row r="2" spans="1:12" x14ac:dyDescent="0.25">
      <c r="A2" s="49"/>
      <c r="B2" s="88" t="s">
        <v>55</v>
      </c>
      <c r="C2" s="89"/>
      <c r="D2" s="63"/>
      <c r="E2" s="64"/>
      <c r="F2" s="64"/>
    </row>
    <row r="3" spans="1:12" x14ac:dyDescent="0.25">
      <c r="A3" s="54"/>
      <c r="B3" s="62"/>
      <c r="C3" s="89"/>
      <c r="D3" s="63"/>
      <c r="E3" s="64"/>
      <c r="F3" s="64"/>
    </row>
    <row r="4" spans="1:12" x14ac:dyDescent="0.25">
      <c r="A4" s="54"/>
      <c r="B4" s="62" t="s">
        <v>56</v>
      </c>
      <c r="C4" s="116">
        <f>11+7</f>
        <v>18</v>
      </c>
      <c r="D4" s="109" t="s">
        <v>50</v>
      </c>
      <c r="E4" s="117">
        <v>1150</v>
      </c>
      <c r="F4" s="93">
        <f>IF(C4&gt;0,C4*E4,"")</f>
        <v>20700</v>
      </c>
      <c r="L4"/>
    </row>
    <row r="5" spans="1:12" x14ac:dyDescent="0.25">
      <c r="A5" s="54"/>
      <c r="B5" s="62"/>
      <c r="C5" s="116"/>
      <c r="D5" s="109"/>
      <c r="E5" s="117"/>
      <c r="F5" s="93"/>
      <c r="L5"/>
    </row>
    <row r="6" spans="1:12" ht="26.4" x14ac:dyDescent="0.25">
      <c r="A6" s="54"/>
      <c r="B6" s="62" t="s">
        <v>218</v>
      </c>
      <c r="C6" s="116">
        <v>1</v>
      </c>
      <c r="D6" s="109" t="s">
        <v>50</v>
      </c>
      <c r="E6" s="117">
        <v>2000</v>
      </c>
      <c r="F6" s="93">
        <f>IF(C6&gt;0,C6*E6,"")</f>
        <v>2000</v>
      </c>
    </row>
    <row r="7" spans="1:12" x14ac:dyDescent="0.25">
      <c r="A7" s="54"/>
      <c r="B7" s="62"/>
      <c r="C7" s="116"/>
      <c r="D7" s="109"/>
      <c r="E7" s="117"/>
      <c r="F7" s="93"/>
    </row>
    <row r="8" spans="1:12" ht="26.4" x14ac:dyDescent="0.25">
      <c r="A8" s="54"/>
      <c r="B8" s="62" t="s">
        <v>217</v>
      </c>
      <c r="C8" s="116">
        <v>1</v>
      </c>
      <c r="D8" s="109" t="s">
        <v>50</v>
      </c>
      <c r="E8" s="117">
        <f>2.1*2.5*1250</f>
        <v>6562.5</v>
      </c>
      <c r="F8" s="93">
        <f>IF(C8&gt;0,C8*E8,"")</f>
        <v>6562.5</v>
      </c>
    </row>
    <row r="9" spans="1:12" x14ac:dyDescent="0.25">
      <c r="A9" s="54"/>
      <c r="B9" s="62"/>
      <c r="C9" s="116"/>
      <c r="D9" s="109"/>
      <c r="E9" s="117"/>
      <c r="F9" s="93"/>
    </row>
    <row r="10" spans="1:12" x14ac:dyDescent="0.25">
      <c r="A10" s="54"/>
      <c r="B10" s="62" t="s">
        <v>216</v>
      </c>
      <c r="C10" s="116">
        <v>1</v>
      </c>
      <c r="D10" s="109" t="s">
        <v>50</v>
      </c>
      <c r="E10" s="117">
        <v>750</v>
      </c>
      <c r="F10" s="93">
        <f>IF(C10&gt;0,C10*E10,"")</f>
        <v>750</v>
      </c>
    </row>
    <row r="11" spans="1:12" x14ac:dyDescent="0.25">
      <c r="A11" s="54"/>
      <c r="B11" s="62"/>
      <c r="C11" s="116"/>
      <c r="D11" s="109"/>
      <c r="E11" s="117"/>
      <c r="F11" s="93" t="str">
        <f>IF(C11&gt;0,C11*E11,"")</f>
        <v/>
      </c>
    </row>
    <row r="12" spans="1:12" x14ac:dyDescent="0.25">
      <c r="A12" s="54"/>
      <c r="B12" s="55" t="s">
        <v>57</v>
      </c>
      <c r="C12" s="118">
        <v>6</v>
      </c>
      <c r="D12" s="57" t="s">
        <v>50</v>
      </c>
      <c r="E12" s="60">
        <v>250</v>
      </c>
      <c r="F12" s="58">
        <f>IF(C12&gt;0,C12*E12,"")</f>
        <v>1500</v>
      </c>
    </row>
    <row r="13" spans="1:12" x14ac:dyDescent="0.25">
      <c r="A13" s="54"/>
      <c r="B13" s="62"/>
      <c r="C13" s="116"/>
      <c r="D13" s="109"/>
      <c r="E13" s="117"/>
      <c r="F13" s="93"/>
    </row>
    <row r="14" spans="1:12" x14ac:dyDescent="0.25">
      <c r="A14" s="57"/>
      <c r="B14" s="62"/>
      <c r="C14" s="90"/>
      <c r="D14" s="63"/>
      <c r="E14" s="91"/>
      <c r="F14" s="64"/>
    </row>
    <row r="15" spans="1:12" x14ac:dyDescent="0.25">
      <c r="A15" s="57"/>
      <c r="B15" s="65" t="s">
        <v>137</v>
      </c>
      <c r="C15" s="90"/>
      <c r="D15" s="63"/>
      <c r="E15" s="91"/>
      <c r="F15" s="92">
        <f>SUM(F4:F14)</f>
        <v>31512.5</v>
      </c>
    </row>
    <row r="16" spans="1:12" ht="13.8" thickTop="1" x14ac:dyDescent="0.25">
      <c r="A16" s="57"/>
      <c r="B16" s="62"/>
      <c r="C16" s="90"/>
      <c r="D16" s="63"/>
      <c r="E16" s="91"/>
      <c r="F16" s="64" t="str">
        <f>IF(C16&gt;0,C16*E16,"")</f>
        <v/>
      </c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&amp;LElmsley Homes
The Old Quarries&amp;CFeasibility Costs&amp;R11 May 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MJ16"/>
  <sheetViews>
    <sheetView showOutlineSymbols="0" view="pageBreakPreview" zoomScaleNormal="100" zoomScaleSheetLayoutView="100" workbookViewId="0">
      <selection activeCell="E11" sqref="E11"/>
    </sheetView>
  </sheetViews>
  <sheetFormatPr defaultColWidth="9.109375" defaultRowHeight="13.2" x14ac:dyDescent="0.25"/>
  <cols>
    <col min="1" max="1" width="7.109375" style="77" customWidth="1"/>
    <col min="2" max="2" width="55.88671875" style="78" customWidth="1"/>
    <col min="3" max="3" width="5.5546875" style="79" bestFit="1" customWidth="1"/>
    <col min="4" max="4" width="5.44140625" style="80" customWidth="1"/>
    <col min="5" max="5" width="9.5546875" style="81" customWidth="1"/>
    <col min="6" max="6" width="11.5546875" style="82" customWidth="1"/>
    <col min="7" max="1024" width="9.109375" style="82"/>
  </cols>
  <sheetData>
    <row r="1" spans="1:6" x14ac:dyDescent="0.25">
      <c r="A1" s="83"/>
      <c r="B1" s="84"/>
      <c r="C1" s="85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58</v>
      </c>
      <c r="C2" s="89"/>
      <c r="D2" s="63"/>
      <c r="E2" s="64"/>
      <c r="F2" s="64"/>
    </row>
    <row r="3" spans="1:6" x14ac:dyDescent="0.25">
      <c r="A3" s="54"/>
      <c r="B3" s="62"/>
      <c r="C3" s="89"/>
      <c r="D3" s="63"/>
      <c r="E3" s="64"/>
      <c r="F3" s="64"/>
    </row>
    <row r="4" spans="1:6" ht="26.4" x14ac:dyDescent="0.25">
      <c r="A4" s="54"/>
      <c r="B4" s="62" t="s">
        <v>210</v>
      </c>
      <c r="C4" s="89"/>
      <c r="D4" s="63"/>
      <c r="E4" s="64"/>
      <c r="F4" s="64"/>
    </row>
    <row r="5" spans="1:6" x14ac:dyDescent="0.25">
      <c r="A5" s="54"/>
      <c r="B5" s="211" t="s">
        <v>73</v>
      </c>
      <c r="C5" s="89">
        <f>4.5*3.3+2*3.3</f>
        <v>21.45</v>
      </c>
      <c r="D5" s="183" t="s">
        <v>42</v>
      </c>
      <c r="E5" s="105">
        <f t="shared" ref="E5:E9" si="0">35+60</f>
        <v>95</v>
      </c>
      <c r="F5" s="64">
        <f t="shared" ref="F5:F13" si="1">IF(C5&gt;0,C5*E5,"")</f>
        <v>2037.75</v>
      </c>
    </row>
    <row r="6" spans="1:6" x14ac:dyDescent="0.25">
      <c r="A6" s="54"/>
      <c r="B6" s="211" t="s">
        <v>190</v>
      </c>
      <c r="C6" s="89">
        <f>2.4*3.3+1.5*3.3+2.4*3.3+1.4*3.3+1*3.3*2</f>
        <v>32.01</v>
      </c>
      <c r="D6" s="183" t="s">
        <v>42</v>
      </c>
      <c r="E6" s="105">
        <f t="shared" si="0"/>
        <v>95</v>
      </c>
      <c r="F6" s="64">
        <f t="shared" si="1"/>
        <v>3040.95</v>
      </c>
    </row>
    <row r="7" spans="1:6" x14ac:dyDescent="0.25">
      <c r="A7" s="54"/>
      <c r="B7" s="211" t="s">
        <v>192</v>
      </c>
      <c r="C7" s="89">
        <f>2.7*3.3+1.5*3.3</f>
        <v>13.86</v>
      </c>
      <c r="D7" s="183" t="s">
        <v>42</v>
      </c>
      <c r="E7" s="105">
        <f t="shared" si="0"/>
        <v>95</v>
      </c>
      <c r="F7" s="64">
        <f t="shared" si="1"/>
        <v>1316.7</v>
      </c>
    </row>
    <row r="8" spans="1:6" x14ac:dyDescent="0.25">
      <c r="A8" s="54"/>
      <c r="B8" s="217" t="s">
        <v>212</v>
      </c>
      <c r="C8" s="89">
        <f>1.5*1*2+1.5*1.5*2-0.9*1.5</f>
        <v>6.15</v>
      </c>
      <c r="D8" s="183" t="s">
        <v>42</v>
      </c>
      <c r="E8" s="105">
        <f t="shared" si="0"/>
        <v>95</v>
      </c>
      <c r="F8" s="64">
        <f t="shared" si="1"/>
        <v>584.25</v>
      </c>
    </row>
    <row r="9" spans="1:6" x14ac:dyDescent="0.25">
      <c r="A9" s="54"/>
      <c r="B9" s="217" t="s">
        <v>213</v>
      </c>
      <c r="C9" s="89">
        <f>(2.2*2+1.8*2)*1.5-0.9*1.5</f>
        <v>10.65</v>
      </c>
      <c r="D9" s="183" t="s">
        <v>42</v>
      </c>
      <c r="E9" s="105">
        <f t="shared" si="0"/>
        <v>95</v>
      </c>
      <c r="F9" s="64">
        <f t="shared" si="1"/>
        <v>1011.75</v>
      </c>
    </row>
    <row r="10" spans="1:6" x14ac:dyDescent="0.25">
      <c r="A10" s="54"/>
      <c r="B10" s="146"/>
      <c r="C10" s="89"/>
      <c r="D10" s="183"/>
      <c r="E10" s="105"/>
      <c r="F10" s="64"/>
    </row>
    <row r="11" spans="1:6" x14ac:dyDescent="0.25">
      <c r="A11" s="54"/>
      <c r="B11" s="144" t="s">
        <v>211</v>
      </c>
      <c r="C11" s="89">
        <f>4*2+4.5</f>
        <v>12.5</v>
      </c>
      <c r="D11" s="63" t="s">
        <v>41</v>
      </c>
      <c r="E11" s="64">
        <v>50</v>
      </c>
      <c r="F11" s="64">
        <f t="shared" si="1"/>
        <v>625</v>
      </c>
    </row>
    <row r="12" spans="1:6" x14ac:dyDescent="0.25">
      <c r="A12" s="54"/>
      <c r="B12" s="144"/>
      <c r="C12" s="89"/>
      <c r="D12" s="63"/>
      <c r="E12" s="64"/>
      <c r="F12" s="64"/>
    </row>
    <row r="13" spans="1:6" ht="26.4" x14ac:dyDescent="0.25">
      <c r="A13" s="54"/>
      <c r="B13" s="144" t="s">
        <v>214</v>
      </c>
      <c r="C13" s="89">
        <f>1*2*3.3+1*1.3</f>
        <v>7.8999999999999995</v>
      </c>
      <c r="D13" s="63" t="s">
        <v>42</v>
      </c>
      <c r="E13" s="64">
        <v>45</v>
      </c>
      <c r="F13" s="64">
        <f t="shared" si="1"/>
        <v>355.5</v>
      </c>
    </row>
    <row r="14" spans="1:6" x14ac:dyDescent="0.25">
      <c r="A14" s="57"/>
      <c r="B14" s="62"/>
      <c r="C14" s="90"/>
      <c r="D14" s="63"/>
      <c r="E14" s="91"/>
      <c r="F14" s="64" t="str">
        <f t="shared" ref="F14" si="2">IF(C14&gt;0,C14*E14,"")</f>
        <v/>
      </c>
    </row>
    <row r="15" spans="1:6" ht="13.8" thickBot="1" x14ac:dyDescent="0.3">
      <c r="A15" s="57"/>
      <c r="B15" s="65" t="s">
        <v>137</v>
      </c>
      <c r="C15" s="90"/>
      <c r="D15" s="63"/>
      <c r="E15" s="91"/>
      <c r="F15" s="92">
        <f>SUM(F3:F14)</f>
        <v>8971.9</v>
      </c>
    </row>
    <row r="16" spans="1:6" ht="14.4" thickTop="1" thickBot="1" x14ac:dyDescent="0.3">
      <c r="A16" s="70"/>
      <c r="B16" s="94"/>
      <c r="C16" s="95"/>
      <c r="D16" s="96"/>
      <c r="E16" s="92"/>
      <c r="F16" s="92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40"/>
  <sheetViews>
    <sheetView showOutlineSymbols="0" view="pageBreakPreview" zoomScaleNormal="100" zoomScaleSheetLayoutView="100" workbookViewId="0">
      <selection activeCell="D11" sqref="D11"/>
    </sheetView>
  </sheetViews>
  <sheetFormatPr defaultColWidth="9.109375" defaultRowHeight="13.2" x14ac:dyDescent="0.25"/>
  <cols>
    <col min="1" max="1" width="7.44140625" style="38" customWidth="1"/>
    <col min="2" max="2" width="55.88671875" style="98" customWidth="1"/>
    <col min="3" max="3" width="5" style="99" bestFit="1" customWidth="1"/>
    <col min="4" max="4" width="5.44140625" style="100" customWidth="1"/>
    <col min="5" max="5" width="9.5546875" style="101" customWidth="1"/>
    <col min="6" max="6" width="11.5546875" customWidth="1"/>
    <col min="7" max="7" width="9.109375" style="120" customWidth="1"/>
    <col min="8" max="8" width="8.88671875" style="120" customWidth="1"/>
    <col min="9" max="9" width="10.109375" style="120" customWidth="1"/>
    <col min="10" max="10" width="10.5546875" customWidth="1"/>
    <col min="1024" max="1024" width="11.5546875" customWidth="1"/>
  </cols>
  <sheetData>
    <row r="1" spans="1:6" x14ac:dyDescent="0.25">
      <c r="A1" s="44"/>
      <c r="B1" s="102"/>
      <c r="C1" s="85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59</v>
      </c>
      <c r="C2" s="103"/>
      <c r="D2" s="104"/>
      <c r="E2" s="105"/>
      <c r="F2" s="105"/>
    </row>
    <row r="3" spans="1:6" x14ac:dyDescent="0.25">
      <c r="A3" s="74"/>
      <c r="B3" s="106"/>
      <c r="C3" s="103"/>
      <c r="D3" s="104"/>
      <c r="E3" s="105"/>
      <c r="F3" s="105"/>
    </row>
    <row r="4" spans="1:6" x14ac:dyDescent="0.25">
      <c r="A4" s="74"/>
      <c r="B4" s="182" t="s">
        <v>99</v>
      </c>
      <c r="C4" s="103"/>
      <c r="D4" s="104"/>
      <c r="E4" s="105"/>
      <c r="F4" s="105"/>
    </row>
    <row r="5" spans="1:6" x14ac:dyDescent="0.25">
      <c r="A5" s="74"/>
      <c r="B5" s="211" t="s">
        <v>188</v>
      </c>
      <c r="C5" s="130">
        <v>35.090000000000003</v>
      </c>
      <c r="D5" s="183" t="s">
        <v>42</v>
      </c>
      <c r="E5" s="105">
        <f t="shared" ref="E5:E7" si="0">60+50</f>
        <v>110</v>
      </c>
      <c r="F5" s="64">
        <f t="shared" ref="F5:F6" si="1">IF(C5&gt;0,C5*E5,"")</f>
        <v>3859.9000000000005</v>
      </c>
    </row>
    <row r="6" spans="1:6" x14ac:dyDescent="0.25">
      <c r="A6" s="74"/>
      <c r="B6" s="211" t="s">
        <v>191</v>
      </c>
      <c r="C6" s="130">
        <v>106.19</v>
      </c>
      <c r="D6" s="183" t="s">
        <v>42</v>
      </c>
      <c r="E6" s="105">
        <f t="shared" si="0"/>
        <v>110</v>
      </c>
      <c r="F6" s="64">
        <f t="shared" si="1"/>
        <v>11680.9</v>
      </c>
    </row>
    <row r="7" spans="1:6" x14ac:dyDescent="0.25">
      <c r="A7" s="74"/>
      <c r="B7" s="211" t="s">
        <v>193</v>
      </c>
      <c r="C7" s="130">
        <f>22.97</f>
        <v>22.97</v>
      </c>
      <c r="D7" s="183" t="s">
        <v>42</v>
      </c>
      <c r="E7" s="105">
        <f t="shared" si="0"/>
        <v>110</v>
      </c>
      <c r="F7" s="64">
        <f t="shared" ref="F7" si="2">IF(C7&gt;0,C7*E7,"")</f>
        <v>2526.6999999999998</v>
      </c>
    </row>
    <row r="8" spans="1:6" x14ac:dyDescent="0.25">
      <c r="A8" s="74"/>
      <c r="B8" s="182"/>
      <c r="C8" s="103"/>
      <c r="D8" s="183"/>
      <c r="E8" s="105"/>
      <c r="F8" s="64"/>
    </row>
    <row r="9" spans="1:6" x14ac:dyDescent="0.25">
      <c r="A9" s="74"/>
      <c r="B9" s="182" t="s">
        <v>195</v>
      </c>
      <c r="C9" s="103"/>
      <c r="D9" s="183"/>
      <c r="E9" s="105"/>
      <c r="F9" s="64"/>
    </row>
    <row r="10" spans="1:6" x14ac:dyDescent="0.25">
      <c r="A10" s="74"/>
      <c r="B10" s="211" t="s">
        <v>185</v>
      </c>
      <c r="C10" s="130">
        <v>2.8</v>
      </c>
      <c r="D10" s="183" t="s">
        <v>42</v>
      </c>
      <c r="E10" s="105">
        <v>55</v>
      </c>
      <c r="F10" s="64">
        <f t="shared" ref="F10" si="3">IF(C10&gt;0,C10*E10,"")</f>
        <v>154</v>
      </c>
    </row>
    <row r="11" spans="1:6" x14ac:dyDescent="0.25">
      <c r="A11" s="74"/>
      <c r="B11" s="212" t="s">
        <v>189</v>
      </c>
      <c r="C11">
        <v>7.07</v>
      </c>
      <c r="D11" s="183" t="s">
        <v>42</v>
      </c>
      <c r="E11" s="105">
        <v>55</v>
      </c>
      <c r="F11" s="64">
        <f>IF(C11&gt;0,C11*E11,"")</f>
        <v>388.85</v>
      </c>
    </row>
    <row r="12" spans="1:6" x14ac:dyDescent="0.25">
      <c r="A12" s="74"/>
      <c r="B12" s="212" t="s">
        <v>187</v>
      </c>
      <c r="C12">
        <v>8.98</v>
      </c>
      <c r="D12" s="183" t="s">
        <v>42</v>
      </c>
      <c r="E12" s="105">
        <v>55</v>
      </c>
      <c r="F12" s="64">
        <f>IF(C12&gt;0,C12*E12,"")</f>
        <v>493.90000000000003</v>
      </c>
    </row>
    <row r="13" spans="1:6" x14ac:dyDescent="0.25">
      <c r="A13" s="74"/>
      <c r="B13" s="182"/>
      <c r="C13" s="103"/>
      <c r="D13" s="104"/>
      <c r="E13" s="105"/>
      <c r="F13" s="64"/>
    </row>
    <row r="14" spans="1:6" x14ac:dyDescent="0.25">
      <c r="A14" s="74"/>
      <c r="B14" s="182" t="s">
        <v>203</v>
      </c>
      <c r="C14" s="103"/>
      <c r="D14" s="104"/>
      <c r="E14" s="105"/>
      <c r="F14" s="64"/>
    </row>
    <row r="15" spans="1:6" x14ac:dyDescent="0.25">
      <c r="A15" s="74"/>
      <c r="B15" s="211" t="s">
        <v>186</v>
      </c>
      <c r="C15" s="130">
        <v>26.83</v>
      </c>
      <c r="D15" s="183" t="s">
        <v>42</v>
      </c>
      <c r="E15" s="105">
        <f>35+55</f>
        <v>90</v>
      </c>
      <c r="F15" s="64">
        <f t="shared" ref="F15" si="4">IF(C15&gt;0,C15*E15,"")</f>
        <v>2414.6999999999998</v>
      </c>
    </row>
    <row r="16" spans="1:6" x14ac:dyDescent="0.25">
      <c r="A16" s="74"/>
      <c r="B16" s="211" t="s">
        <v>73</v>
      </c>
      <c r="C16" s="130">
        <v>8.08</v>
      </c>
      <c r="D16" s="183" t="s">
        <v>42</v>
      </c>
      <c r="E16" s="105">
        <f t="shared" ref="E16:E21" si="5">35+55</f>
        <v>90</v>
      </c>
      <c r="F16" s="64">
        <f t="shared" ref="F16:F19" si="6">IF(C16&gt;0,C16*E16,"")</f>
        <v>727.2</v>
      </c>
    </row>
    <row r="17" spans="1:16" x14ac:dyDescent="0.25">
      <c r="A17" s="74"/>
      <c r="B17" s="211" t="s">
        <v>190</v>
      </c>
      <c r="C17" s="130">
        <v>14.42</v>
      </c>
      <c r="D17" s="183" t="s">
        <v>42</v>
      </c>
      <c r="E17" s="105">
        <f t="shared" si="5"/>
        <v>90</v>
      </c>
      <c r="F17" s="64">
        <f t="shared" si="6"/>
        <v>1297.8</v>
      </c>
    </row>
    <row r="18" spans="1:16" x14ac:dyDescent="0.25">
      <c r="A18" s="74"/>
      <c r="B18" s="211" t="s">
        <v>192</v>
      </c>
      <c r="C18" s="130">
        <v>4.0599999999999996</v>
      </c>
      <c r="D18" s="215" t="s">
        <v>42</v>
      </c>
      <c r="E18" s="105">
        <f t="shared" si="5"/>
        <v>90</v>
      </c>
      <c r="F18" s="64">
        <f t="shared" si="6"/>
        <v>365.4</v>
      </c>
      <c r="M18" s="121"/>
      <c r="N18" s="121"/>
      <c r="O18" s="122"/>
      <c r="P18" s="122"/>
    </row>
    <row r="19" spans="1:16" x14ac:dyDescent="0.25">
      <c r="A19" s="74"/>
      <c r="B19" s="211" t="s">
        <v>194</v>
      </c>
      <c r="C19" s="130">
        <f>16.98</f>
        <v>16.98</v>
      </c>
      <c r="D19" s="215" t="s">
        <v>42</v>
      </c>
      <c r="E19" s="105">
        <f t="shared" si="5"/>
        <v>90</v>
      </c>
      <c r="F19" s="64">
        <f t="shared" si="6"/>
        <v>1528.2</v>
      </c>
      <c r="M19" s="121"/>
      <c r="N19" s="121"/>
      <c r="O19" s="122"/>
      <c r="P19" s="122"/>
    </row>
    <row r="20" spans="1:16" x14ac:dyDescent="0.25">
      <c r="A20" s="74"/>
      <c r="B20" s="212" t="s">
        <v>73</v>
      </c>
      <c r="C20">
        <v>1.73</v>
      </c>
      <c r="D20" s="183" t="s">
        <v>42</v>
      </c>
      <c r="E20" s="105">
        <f t="shared" si="5"/>
        <v>90</v>
      </c>
      <c r="F20" s="64">
        <f>IF(C20&gt;0,C20*E20,"")</f>
        <v>155.69999999999999</v>
      </c>
      <c r="M20" s="121"/>
      <c r="N20" s="121"/>
      <c r="O20" s="122"/>
      <c r="P20" s="122"/>
    </row>
    <row r="21" spans="1:16" x14ac:dyDescent="0.25">
      <c r="A21" s="74"/>
      <c r="B21" s="212" t="s">
        <v>198</v>
      </c>
      <c r="C21">
        <v>4.21</v>
      </c>
      <c r="D21" s="183" t="s">
        <v>42</v>
      </c>
      <c r="E21" s="105">
        <f t="shared" si="5"/>
        <v>90</v>
      </c>
      <c r="F21" s="64">
        <f>IF(C21&gt;0,C21*E21,"")</f>
        <v>378.9</v>
      </c>
      <c r="M21" s="121"/>
      <c r="N21" s="121"/>
      <c r="O21" s="122"/>
      <c r="P21" s="122"/>
    </row>
    <row r="22" spans="1:16" x14ac:dyDescent="0.25">
      <c r="A22" s="74"/>
      <c r="B22" s="214"/>
      <c r="C22" s="103"/>
      <c r="D22" s="215"/>
      <c r="E22" s="105"/>
      <c r="F22" s="64"/>
      <c r="M22" s="121"/>
      <c r="N22" s="121"/>
      <c r="O22" s="122"/>
      <c r="P22" s="122"/>
    </row>
    <row r="23" spans="1:16" x14ac:dyDescent="0.25">
      <c r="A23" s="74"/>
      <c r="B23" s="144" t="s">
        <v>196</v>
      </c>
      <c r="C23" s="213"/>
      <c r="D23" s="104"/>
      <c r="E23" s="105"/>
      <c r="F23" s="105"/>
      <c r="M23" s="121"/>
      <c r="N23" s="121"/>
      <c r="O23" s="122"/>
      <c r="P23" s="122"/>
    </row>
    <row r="24" spans="1:16" x14ac:dyDescent="0.25">
      <c r="A24" s="74"/>
      <c r="B24" s="212" t="s">
        <v>157</v>
      </c>
      <c r="C24">
        <v>21.29</v>
      </c>
      <c r="D24" s="183" t="s">
        <v>42</v>
      </c>
      <c r="E24" s="105">
        <v>60</v>
      </c>
      <c r="F24" s="64">
        <f t="shared" ref="F24" si="7">IF(C24&gt;0,C24*E24,"")</f>
        <v>1277.3999999999999</v>
      </c>
      <c r="M24" s="121"/>
      <c r="N24" s="121"/>
      <c r="O24" s="122"/>
      <c r="P24" s="122"/>
    </row>
    <row r="25" spans="1:16" x14ac:dyDescent="0.25">
      <c r="A25" s="74"/>
      <c r="B25" s="212" t="s">
        <v>160</v>
      </c>
      <c r="C25">
        <v>58.69</v>
      </c>
      <c r="D25" s="183" t="s">
        <v>42</v>
      </c>
      <c r="E25" s="105">
        <v>60</v>
      </c>
      <c r="F25" s="64">
        <f t="shared" ref="F25:F29" si="8">IF(C25&gt;0,C25*E25,"")</f>
        <v>3521.3999999999996</v>
      </c>
      <c r="M25" s="121"/>
      <c r="N25" s="121"/>
      <c r="O25" s="122"/>
      <c r="P25" s="122"/>
    </row>
    <row r="26" spans="1:16" x14ac:dyDescent="0.25">
      <c r="A26" s="74"/>
      <c r="B26" s="212" t="s">
        <v>197</v>
      </c>
      <c r="C26">
        <v>25.29</v>
      </c>
      <c r="D26" s="183" t="s">
        <v>42</v>
      </c>
      <c r="E26" s="105">
        <v>60</v>
      </c>
      <c r="F26" s="64">
        <f t="shared" si="8"/>
        <v>1517.3999999999999</v>
      </c>
      <c r="M26" s="121"/>
      <c r="N26" s="121"/>
      <c r="O26" s="122"/>
      <c r="P26" s="122"/>
    </row>
    <row r="27" spans="1:16" x14ac:dyDescent="0.25">
      <c r="A27" s="74"/>
      <c r="B27" s="212" t="s">
        <v>199</v>
      </c>
      <c r="C27">
        <v>10.66</v>
      </c>
      <c r="D27" s="183" t="s">
        <v>42</v>
      </c>
      <c r="E27" s="105">
        <v>60</v>
      </c>
      <c r="F27" s="64">
        <f t="shared" si="8"/>
        <v>639.6</v>
      </c>
      <c r="M27" s="121"/>
      <c r="N27" s="121"/>
      <c r="O27" s="122"/>
      <c r="P27" s="122"/>
    </row>
    <row r="28" spans="1:16" x14ac:dyDescent="0.25">
      <c r="A28" s="74"/>
      <c r="B28" s="216" t="s">
        <v>158</v>
      </c>
      <c r="C28" s="130">
        <v>12.81</v>
      </c>
      <c r="D28" s="215" t="s">
        <v>42</v>
      </c>
      <c r="E28" s="105">
        <v>60</v>
      </c>
      <c r="F28" s="64">
        <f t="shared" si="8"/>
        <v>768.6</v>
      </c>
      <c r="M28" s="121"/>
      <c r="N28" s="121"/>
      <c r="O28" s="122"/>
      <c r="P28" s="122"/>
    </row>
    <row r="29" spans="1:16" x14ac:dyDescent="0.25">
      <c r="A29" s="74"/>
      <c r="B29" s="216" t="s">
        <v>159</v>
      </c>
      <c r="C29" s="130">
        <v>20.440000000000001</v>
      </c>
      <c r="D29" s="215" t="s">
        <v>42</v>
      </c>
      <c r="E29" s="105">
        <v>60</v>
      </c>
      <c r="F29" s="64">
        <f t="shared" si="8"/>
        <v>1226.4000000000001</v>
      </c>
      <c r="M29" s="121"/>
      <c r="N29" s="121"/>
      <c r="O29" s="122"/>
      <c r="P29" s="122"/>
    </row>
    <row r="30" spans="1:16" x14ac:dyDescent="0.25">
      <c r="A30" s="74"/>
      <c r="B30" s="214"/>
      <c r="C30" s="103"/>
      <c r="D30" s="215"/>
      <c r="E30" s="105"/>
      <c r="F30" s="64"/>
      <c r="M30" s="121"/>
      <c r="N30" s="121"/>
      <c r="O30" s="122"/>
      <c r="P30" s="122"/>
    </row>
    <row r="31" spans="1:16" x14ac:dyDescent="0.25">
      <c r="A31" s="74"/>
      <c r="B31" s="144" t="s">
        <v>200</v>
      </c>
      <c r="C31" s="103">
        <v>155.12</v>
      </c>
      <c r="D31" s="183" t="s">
        <v>42</v>
      </c>
      <c r="E31" s="105">
        <v>40</v>
      </c>
      <c r="F31" s="64">
        <f t="shared" ref="F31:F33" si="9">IF(C31&gt;0,C31*E31,"")</f>
        <v>6204.8</v>
      </c>
      <c r="M31" s="121"/>
      <c r="N31" s="121"/>
      <c r="O31" s="122"/>
      <c r="P31" s="122"/>
    </row>
    <row r="32" spans="1:16" x14ac:dyDescent="0.25">
      <c r="A32" s="74"/>
      <c r="B32" s="144"/>
      <c r="C32" s="103"/>
      <c r="D32" s="183"/>
      <c r="E32" s="105"/>
      <c r="F32" s="64"/>
      <c r="M32" s="121"/>
      <c r="N32" s="121"/>
      <c r="O32" s="122"/>
      <c r="P32" s="122"/>
    </row>
    <row r="33" spans="1:16" x14ac:dyDescent="0.25">
      <c r="A33" s="74"/>
      <c r="B33" s="144" t="s">
        <v>201</v>
      </c>
      <c r="C33" s="103">
        <v>253.47</v>
      </c>
      <c r="D33" s="183" t="s">
        <v>42</v>
      </c>
      <c r="E33" s="105">
        <v>17.5</v>
      </c>
      <c r="F33" s="64">
        <f t="shared" si="9"/>
        <v>4435.7250000000004</v>
      </c>
      <c r="M33" s="121"/>
      <c r="N33" s="121"/>
      <c r="O33" s="122"/>
      <c r="P33" s="122"/>
    </row>
    <row r="34" spans="1:16" x14ac:dyDescent="0.25">
      <c r="A34" s="74"/>
      <c r="B34" s="144"/>
      <c r="C34" s="103"/>
      <c r="D34" s="183"/>
      <c r="E34" s="105"/>
      <c r="F34" s="64"/>
      <c r="M34" s="121"/>
      <c r="N34" s="121"/>
      <c r="O34" s="122"/>
      <c r="P34" s="122"/>
    </row>
    <row r="35" spans="1:16" x14ac:dyDescent="0.25">
      <c r="A35" s="74"/>
      <c r="B35" s="144" t="s">
        <v>202</v>
      </c>
      <c r="C35" s="103"/>
      <c r="D35" s="183"/>
      <c r="E35" s="105"/>
      <c r="F35" s="64"/>
      <c r="M35" s="121"/>
      <c r="N35" s="121"/>
      <c r="O35" s="122"/>
      <c r="P35" s="122"/>
    </row>
    <row r="36" spans="1:16" x14ac:dyDescent="0.25">
      <c r="A36" s="74"/>
      <c r="B36" s="146" t="s">
        <v>100</v>
      </c>
      <c r="C36" s="103">
        <f>4.8*4-0.8*3+2.7*2+6.1*2-0.8*2-2.1-2.2-2.8+10.5*4-2*2-0.8*2+9*2+5.3*2-1.5-2-2.4-0.8*2+4.5*2+1.5*2-0.8+2.2+2.5+1.8+3.6*4-0.8+2*2+4.5-0.8*3</f>
        <v>120.6</v>
      </c>
      <c r="D36" s="183" t="s">
        <v>41</v>
      </c>
      <c r="E36" s="105">
        <v>22.5</v>
      </c>
      <c r="F36" s="64">
        <f t="shared" ref="F36" si="10">IF(C36&gt;0,C36*E36,"")</f>
        <v>2713.5</v>
      </c>
      <c r="M36" s="121"/>
      <c r="N36" s="121"/>
      <c r="O36" s="122"/>
      <c r="P36" s="122"/>
    </row>
    <row r="37" spans="1:16" x14ac:dyDescent="0.25">
      <c r="A37" s="74"/>
      <c r="B37" s="146" t="s">
        <v>101</v>
      </c>
      <c r="C37" s="103">
        <f>4.9*2+4-0.8+10.6*2+6.8*2-0.8*4+3.7+2.4+4.1+3.1+2.8+1.75-0.8*3+3.3*2+3.1*2-0.8+3.2*2+3.6-0.8*2+8+1.2*2+1.6*2-0.8</f>
        <v>93.250000000000028</v>
      </c>
      <c r="D37" s="183" t="s">
        <v>41</v>
      </c>
      <c r="E37" s="105">
        <v>22.5</v>
      </c>
      <c r="F37" s="64">
        <f t="shared" ref="F37" si="11">IF(C37&gt;0,C37*E37,"")</f>
        <v>2098.1250000000005</v>
      </c>
      <c r="M37" s="121"/>
      <c r="N37" s="121"/>
      <c r="O37" s="122"/>
      <c r="P37" s="122"/>
    </row>
    <row r="38" spans="1:16" x14ac:dyDescent="0.25">
      <c r="A38" s="57"/>
      <c r="B38" s="62"/>
      <c r="C38" s="90"/>
      <c r="D38" s="63"/>
      <c r="E38" s="91"/>
      <c r="F38" s="64" t="str">
        <f t="shared" ref="F38" si="12">IF(C38&gt;0,C38*E38,"")</f>
        <v/>
      </c>
      <c r="G38" s="124"/>
    </row>
    <row r="39" spans="1:16" x14ac:dyDescent="0.25">
      <c r="A39" s="57"/>
      <c r="B39" s="65" t="s">
        <v>137</v>
      </c>
      <c r="C39" s="90"/>
      <c r="D39" s="63"/>
      <c r="E39" s="91"/>
      <c r="F39" s="92">
        <f>SUM(F3:F38)</f>
        <v>50375.100000000006</v>
      </c>
      <c r="G39" s="124"/>
      <c r="J39" s="82"/>
      <c r="K39" s="125"/>
    </row>
    <row r="40" spans="1:16" ht="13.8" thickTop="1" x14ac:dyDescent="0.25">
      <c r="A40" s="57"/>
      <c r="B40" s="62"/>
      <c r="C40" s="90"/>
      <c r="D40" s="63"/>
      <c r="E40" s="91"/>
      <c r="F40" s="64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MJ12"/>
  <sheetViews>
    <sheetView showOutlineSymbols="0" view="pageBreakPreview" zoomScaleNormal="100" zoomScaleSheetLayoutView="100" workbookViewId="0">
      <selection activeCell="F2" sqref="F2"/>
    </sheetView>
  </sheetViews>
  <sheetFormatPr defaultColWidth="9.109375" defaultRowHeight="13.2" x14ac:dyDescent="0.25"/>
  <cols>
    <col min="1" max="1" width="7.109375" style="77" customWidth="1"/>
    <col min="2" max="2" width="55.88671875" style="78" customWidth="1"/>
    <col min="3" max="3" width="5" style="82" bestFit="1" customWidth="1"/>
    <col min="4" max="4" width="5.44140625" style="80" customWidth="1"/>
    <col min="5" max="5" width="9.5546875" style="81" customWidth="1"/>
    <col min="6" max="6" width="11.5546875" style="82" customWidth="1"/>
    <col min="7" max="1024" width="9.109375" style="82"/>
  </cols>
  <sheetData>
    <row r="1" spans="1:6" x14ac:dyDescent="0.25">
      <c r="A1" s="83"/>
      <c r="B1" s="84"/>
      <c r="C1" s="86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60</v>
      </c>
      <c r="C2" s="89"/>
      <c r="D2" s="63"/>
      <c r="E2" s="64"/>
      <c r="F2" s="64"/>
    </row>
    <row r="3" spans="1:6" x14ac:dyDescent="0.25">
      <c r="A3" s="54"/>
      <c r="B3" s="62"/>
      <c r="C3" s="89"/>
      <c r="D3" s="63"/>
      <c r="E3" s="64"/>
      <c r="F3" s="64"/>
    </row>
    <row r="4" spans="1:6" ht="39.6" x14ac:dyDescent="0.25">
      <c r="A4" s="54"/>
      <c r="B4" s="62" t="s">
        <v>206</v>
      </c>
      <c r="C4" s="89">
        <v>253.47</v>
      </c>
      <c r="D4" s="63" t="s">
        <v>42</v>
      </c>
      <c r="E4" s="64">
        <f>15*2+15+25</f>
        <v>70</v>
      </c>
      <c r="F4" s="105">
        <f>IF(C4&gt;0,C4*E4,"")</f>
        <v>17742.900000000001</v>
      </c>
    </row>
    <row r="5" spans="1:6" x14ac:dyDescent="0.25">
      <c r="A5" s="54"/>
      <c r="B5" s="62"/>
      <c r="C5" s="89"/>
      <c r="D5" s="63"/>
      <c r="E5" s="64"/>
      <c r="F5" s="64"/>
    </row>
    <row r="6" spans="1:6" ht="26.4" x14ac:dyDescent="0.25">
      <c r="A6" s="54"/>
      <c r="B6" s="62" t="s">
        <v>207</v>
      </c>
      <c r="C6" s="89">
        <f>3.3*5.5*2+2.15*7.75*2+1.4*1+3.15*8.25*2+2.2*1.8*2+2.6*3.7*2+2.75*3.1*2+58.69</f>
        <v>225.9</v>
      </c>
      <c r="D6" s="63" t="s">
        <v>42</v>
      </c>
      <c r="E6" s="64">
        <f>35</f>
        <v>35</v>
      </c>
      <c r="F6" s="105">
        <f>IF(C6&gt;0,C6*E6,"")</f>
        <v>7906.5</v>
      </c>
    </row>
    <row r="7" spans="1:6" x14ac:dyDescent="0.25">
      <c r="A7" s="54"/>
      <c r="B7" s="135" t="s">
        <v>208</v>
      </c>
      <c r="C7" s="89">
        <f>3.3*5.5*2+2.15*7.75*2+1.4*1+3.15*8.25*2+2.2*1.8*2+2.6*3.7*2+2.75*3.1*2+58.69</f>
        <v>225.9</v>
      </c>
      <c r="D7" s="63" t="s">
        <v>42</v>
      </c>
      <c r="E7" s="64">
        <v>40</v>
      </c>
      <c r="F7" s="105">
        <f>IF(C7&gt;0,C7*E7,"")</f>
        <v>9036</v>
      </c>
    </row>
    <row r="8" spans="1:6" x14ac:dyDescent="0.25">
      <c r="A8" s="54"/>
      <c r="B8" s="62"/>
      <c r="C8" s="89"/>
      <c r="D8" s="63"/>
      <c r="E8" s="64"/>
      <c r="F8" s="105"/>
    </row>
    <row r="9" spans="1:6" s="82" customFormat="1" x14ac:dyDescent="0.25">
      <c r="A9" s="126"/>
      <c r="B9" s="127" t="s">
        <v>209</v>
      </c>
      <c r="C9" s="103">
        <f>4.8*4+2.7*2+6.1*2-2.1+10.5*4+9*2+5.3*2+4.5*2+1.5*2+2.2+2.5+1.8+3.6*4+2*2+4.5+3.9*2+4.5+2.6*2+1.5*2+2.1*2+4.5*2+2.3*2+1.5*2+1*2+2.4*2+1.4*2+1*2-4.5*2-1.5*2-3.5*2-3.5*2</f>
        <v>173.6</v>
      </c>
      <c r="D9" s="183" t="s">
        <v>41</v>
      </c>
      <c r="E9" s="105">
        <v>25</v>
      </c>
      <c r="F9" s="64">
        <f t="shared" ref="F9" si="0">IF(C9&gt;0,C9*E9,"")</f>
        <v>4340</v>
      </c>
    </row>
    <row r="10" spans="1:6" x14ac:dyDescent="0.25">
      <c r="A10" s="57"/>
      <c r="B10" s="62"/>
      <c r="C10" s="127"/>
      <c r="D10" s="63"/>
      <c r="E10" s="91"/>
      <c r="F10" s="64"/>
    </row>
    <row r="11" spans="1:6" x14ac:dyDescent="0.25">
      <c r="A11" s="57"/>
      <c r="B11" s="65" t="s">
        <v>137</v>
      </c>
      <c r="C11" s="90"/>
      <c r="D11" s="63"/>
      <c r="E11" s="91"/>
      <c r="F11" s="92">
        <f>SUM(F3:F10)</f>
        <v>39025.4</v>
      </c>
    </row>
    <row r="12" spans="1:6" ht="13.8" thickTop="1" x14ac:dyDescent="0.25">
      <c r="A12" s="57"/>
      <c r="B12" s="62"/>
      <c r="C12" s="90"/>
      <c r="D12" s="63"/>
      <c r="E12" s="91"/>
      <c r="F12" s="64" t="str">
        <f>IF(C12&gt;0,C12*E12,"")</f>
        <v/>
      </c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MJ11"/>
  <sheetViews>
    <sheetView view="pageBreakPreview" zoomScaleNormal="100" zoomScaleSheetLayoutView="100" workbookViewId="0">
      <selection activeCell="B10" sqref="B10"/>
    </sheetView>
  </sheetViews>
  <sheetFormatPr defaultColWidth="8.88671875" defaultRowHeight="13.2" x14ac:dyDescent="0.25"/>
  <cols>
    <col min="1" max="1" width="6" style="167" customWidth="1"/>
    <col min="2" max="2" width="55.88671875" style="143" customWidth="1"/>
    <col min="3" max="3" width="7.5546875" style="168" customWidth="1"/>
    <col min="4" max="4" width="5.44140625" style="167" customWidth="1"/>
    <col min="5" max="5" width="10.88671875" style="169" customWidth="1"/>
    <col min="6" max="6" width="11.5546875" style="147" customWidth="1"/>
    <col min="7" max="1024" width="8.88671875" style="147"/>
    <col min="1025" max="16384" width="8.88671875" style="141"/>
  </cols>
  <sheetData>
    <row r="1" spans="1:6" x14ac:dyDescent="0.25">
      <c r="A1" s="155"/>
      <c r="B1" s="156"/>
      <c r="C1" s="170" t="s">
        <v>38</v>
      </c>
      <c r="D1" s="171" t="s">
        <v>13</v>
      </c>
      <c r="E1" s="172" t="s">
        <v>39</v>
      </c>
      <c r="F1" s="171" t="s">
        <v>4</v>
      </c>
    </row>
    <row r="2" spans="1:6" x14ac:dyDescent="0.25">
      <c r="A2" s="157"/>
      <c r="B2" s="158" t="s">
        <v>135</v>
      </c>
      <c r="C2" s="159"/>
      <c r="D2" s="145"/>
      <c r="E2" s="160"/>
      <c r="F2" s="160"/>
    </row>
    <row r="3" spans="1:6" x14ac:dyDescent="0.25">
      <c r="A3" s="154"/>
      <c r="B3" s="144"/>
      <c r="C3" s="159"/>
      <c r="D3" s="145"/>
      <c r="E3" s="160"/>
      <c r="F3" s="160"/>
    </row>
    <row r="4" spans="1:6" x14ac:dyDescent="0.25">
      <c r="A4" s="154"/>
      <c r="B4" s="144" t="s">
        <v>247</v>
      </c>
      <c r="C4" s="89">
        <v>409</v>
      </c>
      <c r="D4" s="145" t="s">
        <v>42</v>
      </c>
      <c r="E4" s="160">
        <v>55</v>
      </c>
      <c r="F4" s="160">
        <f>C4*E4</f>
        <v>22495</v>
      </c>
    </row>
    <row r="5" spans="1:6" x14ac:dyDescent="0.25">
      <c r="A5" s="154"/>
      <c r="B5" s="144"/>
      <c r="C5" s="159"/>
      <c r="D5" s="145"/>
      <c r="E5" s="160"/>
      <c r="F5" s="160" t="str">
        <f t="shared" ref="F5" si="0">IF(C5&gt;0,C5*E5,"")</f>
        <v/>
      </c>
    </row>
    <row r="6" spans="1:6" x14ac:dyDescent="0.25">
      <c r="A6" s="154"/>
      <c r="B6" s="144" t="s">
        <v>251</v>
      </c>
      <c r="C6" s="89"/>
      <c r="D6" s="63"/>
      <c r="E6" s="160"/>
      <c r="F6" s="160"/>
    </row>
    <row r="7" spans="1:6" x14ac:dyDescent="0.25">
      <c r="A7" s="154"/>
      <c r="B7" s="146" t="s">
        <v>253</v>
      </c>
      <c r="C7" s="89">
        <f>3.7+2.5+4.75+2.2+1.7+2*2+6+1.1+4.1+2.1*2+2.5*2+6.5+3.5+9.2+8.3+6.4+1.5*2-2.1*2-1.5*2-2*2</f>
        <v>64.95</v>
      </c>
      <c r="D7" s="63" t="s">
        <v>41</v>
      </c>
      <c r="E7" s="160">
        <v>22.5</v>
      </c>
      <c r="F7" s="160">
        <f>C7*E7</f>
        <v>1461.375</v>
      </c>
    </row>
    <row r="8" spans="1:6" x14ac:dyDescent="0.25">
      <c r="A8" s="154"/>
      <c r="B8" s="146" t="s">
        <v>252</v>
      </c>
      <c r="C8" s="89">
        <f>3.776+3.804+2.816+5.085+2.694+2.812+2.889+3.237+2.793+3.503+2.407+2.373+2.327+2.339+4.876+4.997+4.506+4.542+5.77+3.3</f>
        <v>70.845999999999989</v>
      </c>
      <c r="D8" s="63" t="s">
        <v>41</v>
      </c>
      <c r="E8" s="160">
        <v>22.5</v>
      </c>
      <c r="F8" s="160">
        <f>C8*E8</f>
        <v>1594.0349999999999</v>
      </c>
    </row>
    <row r="9" spans="1:6" x14ac:dyDescent="0.25">
      <c r="A9" s="145"/>
      <c r="B9" s="144"/>
      <c r="C9" s="162"/>
      <c r="D9" s="145"/>
      <c r="E9" s="160"/>
      <c r="F9" s="160"/>
    </row>
    <row r="10" spans="1:6" ht="13.8" thickBot="1" x14ac:dyDescent="0.3">
      <c r="A10" s="145"/>
      <c r="B10" s="163" t="s">
        <v>137</v>
      </c>
      <c r="C10" s="162"/>
      <c r="D10" s="145"/>
      <c r="E10" s="164"/>
      <c r="F10" s="165">
        <f>SUM(F4:F9)</f>
        <v>25550.41</v>
      </c>
    </row>
    <row r="11" spans="1:6" ht="13.8" thickTop="1" x14ac:dyDescent="0.25">
      <c r="A11" s="145"/>
      <c r="B11" s="166"/>
      <c r="C11" s="159"/>
      <c r="D11" s="145"/>
      <c r="E11" s="160"/>
      <c r="F11" s="16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MK21"/>
  <sheetViews>
    <sheetView showOutlineSymbols="0" view="pageBreakPreview" zoomScale="115" zoomScaleNormal="100" zoomScaleSheetLayoutView="115" workbookViewId="0">
      <selection activeCell="F4" sqref="F4"/>
    </sheetView>
  </sheetViews>
  <sheetFormatPr defaultColWidth="9.109375" defaultRowHeight="13.2" x14ac:dyDescent="0.25"/>
  <cols>
    <col min="1" max="1" width="7.88671875" style="77" customWidth="1"/>
    <col min="2" max="2" width="55.88671875" style="78" customWidth="1"/>
    <col min="3" max="3" width="5" style="82" bestFit="1" customWidth="1"/>
    <col min="4" max="4" width="5.44140625" style="80" customWidth="1"/>
    <col min="5" max="5" width="10.109375" style="81" bestFit="1" customWidth="1"/>
    <col min="6" max="6" width="11.5546875" style="82" customWidth="1"/>
    <col min="7" max="8" width="10.44140625" style="82" bestFit="1" customWidth="1"/>
    <col min="9" max="11" width="9.109375" style="82"/>
    <col min="12" max="13" width="11.5546875" style="149" bestFit="1" customWidth="1"/>
    <col min="14" max="14" width="7.88671875" style="173" bestFit="1" customWidth="1"/>
    <col min="15" max="15" width="13" style="149" bestFit="1" customWidth="1"/>
    <col min="16" max="16" width="11.5546875" style="82" bestFit="1" customWidth="1"/>
    <col min="17" max="1025" width="9.109375" style="82"/>
  </cols>
  <sheetData>
    <row r="1" spans="1:16" x14ac:dyDescent="0.25">
      <c r="A1" s="83"/>
      <c r="B1" s="84"/>
      <c r="C1" s="86" t="s">
        <v>38</v>
      </c>
      <c r="D1" s="86" t="s">
        <v>13</v>
      </c>
      <c r="E1" s="87" t="s">
        <v>39</v>
      </c>
      <c r="F1" s="86" t="s">
        <v>4</v>
      </c>
    </row>
    <row r="2" spans="1:16" x14ac:dyDescent="0.25">
      <c r="A2" s="49"/>
      <c r="B2" s="88" t="s">
        <v>61</v>
      </c>
      <c r="C2" s="89"/>
      <c r="D2" s="63"/>
      <c r="E2" s="64"/>
      <c r="F2" s="64"/>
    </row>
    <row r="3" spans="1:16" x14ac:dyDescent="0.25">
      <c r="A3" s="49"/>
      <c r="B3" s="88"/>
      <c r="C3" s="89"/>
      <c r="D3" s="63"/>
      <c r="E3" s="64"/>
      <c r="F3" s="64"/>
      <c r="L3" s="153"/>
      <c r="M3" s="153"/>
      <c r="N3" s="174"/>
      <c r="O3" s="153"/>
      <c r="P3" s="153"/>
    </row>
    <row r="4" spans="1:16" x14ac:dyDescent="0.25">
      <c r="A4" s="57"/>
      <c r="B4" s="62" t="s">
        <v>156</v>
      </c>
      <c r="C4" s="90">
        <v>1</v>
      </c>
      <c r="D4" s="63" t="s">
        <v>46</v>
      </c>
      <c r="E4" s="91">
        <v>35000</v>
      </c>
      <c r="F4" s="64">
        <f t="shared" ref="F4:F18" si="0">IF(C4&gt;0,C4*E4,"")</f>
        <v>35000</v>
      </c>
      <c r="H4" s="149"/>
      <c r="P4" s="149"/>
    </row>
    <row r="5" spans="1:16" x14ac:dyDescent="0.25">
      <c r="A5" s="57"/>
      <c r="B5" s="62"/>
      <c r="C5" s="90"/>
      <c r="D5" s="63"/>
      <c r="E5" s="91"/>
      <c r="F5" s="64"/>
      <c r="H5" s="149"/>
      <c r="P5" s="149"/>
    </row>
    <row r="6" spans="1:16" x14ac:dyDescent="0.25">
      <c r="A6" s="57"/>
      <c r="B6" s="62" t="s">
        <v>320</v>
      </c>
      <c r="C6" s="90">
        <v>1</v>
      </c>
      <c r="D6" s="63" t="s">
        <v>46</v>
      </c>
      <c r="E6" s="91">
        <v>750</v>
      </c>
      <c r="F6" s="64">
        <f t="shared" ref="F6" si="1">IF(C6&gt;0,C6*E6,"")</f>
        <v>750</v>
      </c>
      <c r="H6" s="149"/>
      <c r="P6" s="149"/>
    </row>
    <row r="7" spans="1:16" x14ac:dyDescent="0.25">
      <c r="A7" s="57"/>
      <c r="B7" s="62"/>
      <c r="C7" s="90"/>
      <c r="D7" s="63"/>
      <c r="E7" s="91"/>
      <c r="F7" s="64" t="str">
        <f t="shared" si="0"/>
        <v/>
      </c>
      <c r="L7" s="153"/>
      <c r="M7" s="153"/>
      <c r="N7" s="174"/>
      <c r="O7" s="153"/>
      <c r="P7" s="153"/>
    </row>
    <row r="8" spans="1:16" x14ac:dyDescent="0.25">
      <c r="A8" s="57"/>
      <c r="B8" s="62" t="s">
        <v>97</v>
      </c>
      <c r="C8" s="90"/>
      <c r="D8" s="63"/>
      <c r="E8" s="91"/>
      <c r="F8" s="64"/>
      <c r="H8" s="149"/>
    </row>
    <row r="9" spans="1:16" x14ac:dyDescent="0.25">
      <c r="A9" s="57"/>
      <c r="B9" s="135" t="s">
        <v>168</v>
      </c>
      <c r="C9" s="90">
        <v>1.5</v>
      </c>
      <c r="D9" s="63" t="s">
        <v>41</v>
      </c>
      <c r="E9" s="91">
        <v>1500</v>
      </c>
      <c r="F9" s="64">
        <f>IF(C9&gt;0,C9*E9,"")</f>
        <v>2250</v>
      </c>
      <c r="H9" s="149"/>
    </row>
    <row r="10" spans="1:16" x14ac:dyDescent="0.25">
      <c r="A10" s="57"/>
      <c r="B10" s="135" t="s">
        <v>170</v>
      </c>
      <c r="C10" s="90">
        <f>1.3*2</f>
        <v>2.6</v>
      </c>
      <c r="D10" s="63" t="s">
        <v>41</v>
      </c>
      <c r="E10" s="91">
        <v>1500</v>
      </c>
      <c r="F10" s="64">
        <f>IF(C10&gt;0,C10*E10,"")</f>
        <v>3900</v>
      </c>
      <c r="H10" s="149"/>
    </row>
    <row r="11" spans="1:16" x14ac:dyDescent="0.25">
      <c r="A11" s="57"/>
      <c r="B11" s="135" t="s">
        <v>164</v>
      </c>
      <c r="C11" s="90">
        <f>2</f>
        <v>2</v>
      </c>
      <c r="D11" s="63" t="s">
        <v>41</v>
      </c>
      <c r="E11" s="91">
        <v>1500</v>
      </c>
      <c r="F11" s="64">
        <f>IF(C11&gt;0,C11*E11,"")</f>
        <v>3000</v>
      </c>
      <c r="H11" s="149"/>
    </row>
    <row r="12" spans="1:16" x14ac:dyDescent="0.25">
      <c r="A12" s="57"/>
      <c r="B12" s="135" t="s">
        <v>165</v>
      </c>
      <c r="C12" s="90">
        <v>3.85</v>
      </c>
      <c r="D12" s="63" t="s">
        <v>41</v>
      </c>
      <c r="E12" s="91">
        <v>1500</v>
      </c>
      <c r="F12" s="64">
        <f>IF(C12&gt;0,C12*E12,"")</f>
        <v>5775</v>
      </c>
      <c r="H12" s="149"/>
    </row>
    <row r="13" spans="1:16" x14ac:dyDescent="0.25">
      <c r="A13" s="57"/>
      <c r="B13" s="135" t="s">
        <v>166</v>
      </c>
      <c r="C13" s="90">
        <v>3.5</v>
      </c>
      <c r="D13" s="63" t="s">
        <v>41</v>
      </c>
      <c r="E13" s="91">
        <v>1500</v>
      </c>
      <c r="F13" s="64">
        <f t="shared" ref="F13:F15" si="2">IF(C13&gt;0,C13*E13,"")</f>
        <v>5250</v>
      </c>
      <c r="H13" s="149"/>
    </row>
    <row r="14" spans="1:16" x14ac:dyDescent="0.25">
      <c r="A14" s="57"/>
      <c r="B14" s="135" t="s">
        <v>169</v>
      </c>
      <c r="C14" s="90">
        <v>1</v>
      </c>
      <c r="D14" s="63" t="s">
        <v>44</v>
      </c>
      <c r="E14" s="91">
        <v>3000</v>
      </c>
      <c r="F14" s="64">
        <f t="shared" ref="F14" si="3">IF(C14&gt;0,C14*E14,"")</f>
        <v>3000</v>
      </c>
      <c r="H14" s="149"/>
    </row>
    <row r="15" spans="1:16" x14ac:dyDescent="0.25">
      <c r="A15" s="57"/>
      <c r="B15" s="135" t="s">
        <v>167</v>
      </c>
      <c r="C15" s="90">
        <v>1</v>
      </c>
      <c r="D15" s="63" t="s">
        <v>44</v>
      </c>
      <c r="E15" s="91">
        <v>5000</v>
      </c>
      <c r="F15" s="64">
        <f t="shared" si="2"/>
        <v>5000</v>
      </c>
      <c r="H15" s="149"/>
    </row>
    <row r="16" spans="1:16" x14ac:dyDescent="0.25">
      <c r="A16" s="57"/>
      <c r="B16" s="62"/>
      <c r="C16" s="90"/>
      <c r="D16" s="63"/>
      <c r="E16" s="91"/>
      <c r="F16" s="64"/>
      <c r="H16" s="149"/>
    </row>
    <row r="17" spans="1:16" x14ac:dyDescent="0.25">
      <c r="A17" s="57"/>
      <c r="B17" s="62" t="s">
        <v>182</v>
      </c>
      <c r="C17" s="90">
        <v>2</v>
      </c>
      <c r="D17" s="63" t="s">
        <v>44</v>
      </c>
      <c r="E17" s="91">
        <v>1000</v>
      </c>
      <c r="F17" s="64">
        <f t="shared" ref="F17" si="4">IF(C17&gt;0,C17*E17,"")</f>
        <v>2000</v>
      </c>
      <c r="H17" s="149"/>
    </row>
    <row r="18" spans="1:16" x14ac:dyDescent="0.25">
      <c r="A18" s="57"/>
      <c r="B18" s="62"/>
      <c r="C18" s="127"/>
      <c r="D18" s="63"/>
      <c r="E18" s="91"/>
      <c r="F18" s="64" t="str">
        <f t="shared" si="0"/>
        <v/>
      </c>
      <c r="P18" s="149"/>
    </row>
    <row r="19" spans="1:16" ht="13.8" thickBot="1" x14ac:dyDescent="0.3">
      <c r="A19" s="57"/>
      <c r="B19" s="65" t="s">
        <v>137</v>
      </c>
      <c r="C19" s="90"/>
      <c r="D19" s="63"/>
      <c r="E19" s="91"/>
      <c r="F19" s="92">
        <f>SUM(F4:F18)</f>
        <v>65925</v>
      </c>
      <c r="P19" s="149"/>
    </row>
    <row r="20" spans="1:16" ht="13.8" thickTop="1" x14ac:dyDescent="0.25">
      <c r="A20" s="57"/>
      <c r="B20" s="65"/>
      <c r="C20" s="90"/>
      <c r="D20" s="63"/>
      <c r="E20" s="91"/>
      <c r="F20" s="119"/>
      <c r="P20" s="149"/>
    </row>
    <row r="21" spans="1:16" x14ac:dyDescent="0.25">
      <c r="A21" s="57"/>
      <c r="B21" s="68"/>
      <c r="C21" s="90"/>
      <c r="D21" s="104"/>
      <c r="E21" s="108"/>
      <c r="F21" s="119"/>
      <c r="P21" s="149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K24"/>
  <sheetViews>
    <sheetView showOutlineSymbols="0" view="pageBreakPreview" zoomScaleNormal="100" zoomScaleSheetLayoutView="100" workbookViewId="0">
      <selection activeCell="F3" sqref="F3"/>
    </sheetView>
  </sheetViews>
  <sheetFormatPr defaultColWidth="9.109375" defaultRowHeight="13.2" x14ac:dyDescent="0.25"/>
  <cols>
    <col min="1" max="1" width="7.5546875" style="38" customWidth="1"/>
    <col min="2" max="2" width="55.88671875" style="98" customWidth="1"/>
    <col min="3" max="3" width="5" bestFit="1" customWidth="1"/>
    <col min="4" max="4" width="5.44140625" style="100" customWidth="1"/>
    <col min="5" max="5" width="9.5546875" style="101" customWidth="1"/>
    <col min="6" max="6" width="12.109375" customWidth="1"/>
    <col min="7" max="7" width="2.88671875" customWidth="1"/>
    <col min="8" max="8" width="4.109375" customWidth="1"/>
    <col min="9" max="10" width="3.88671875" customWidth="1"/>
    <col min="11" max="11" width="5" customWidth="1"/>
  </cols>
  <sheetData>
    <row r="1" spans="1:11" x14ac:dyDescent="0.25">
      <c r="A1" s="44"/>
      <c r="B1" s="102"/>
      <c r="C1" s="86" t="s">
        <v>38</v>
      </c>
      <c r="D1" s="86" t="s">
        <v>13</v>
      </c>
      <c r="E1" s="87" t="s">
        <v>39</v>
      </c>
      <c r="F1" s="86" t="s">
        <v>4</v>
      </c>
    </row>
    <row r="2" spans="1:11" x14ac:dyDescent="0.25">
      <c r="A2" s="49"/>
      <c r="B2" s="88" t="s">
        <v>62</v>
      </c>
      <c r="C2" s="103"/>
      <c r="D2" s="104"/>
      <c r="E2" s="105"/>
      <c r="F2" s="105"/>
    </row>
    <row r="3" spans="1:11" x14ac:dyDescent="0.25">
      <c r="A3" s="74"/>
      <c r="B3" s="106"/>
      <c r="C3" s="103"/>
      <c r="D3" s="104"/>
      <c r="E3" s="105"/>
      <c r="F3" s="105"/>
    </row>
    <row r="4" spans="1:11" s="82" customFormat="1" x14ac:dyDescent="0.25">
      <c r="A4" s="57"/>
      <c r="B4" s="62" t="s">
        <v>161</v>
      </c>
      <c r="C4" s="90">
        <v>1</v>
      </c>
      <c r="D4" s="63" t="s">
        <v>50</v>
      </c>
      <c r="E4" s="91">
        <v>2500</v>
      </c>
      <c r="F4" s="64">
        <f t="shared" ref="F4:F12" si="0">IF(C4&gt;0,C4*E4,"")</f>
        <v>2500</v>
      </c>
      <c r="G4"/>
      <c r="K4" s="129"/>
    </row>
    <row r="5" spans="1:11" s="82" customFormat="1" x14ac:dyDescent="0.25">
      <c r="A5" s="57"/>
      <c r="B5" s="62"/>
      <c r="C5" s="127"/>
      <c r="D5" s="63"/>
      <c r="E5" s="91"/>
      <c r="F5" s="64" t="str">
        <f t="shared" si="0"/>
        <v/>
      </c>
      <c r="G5"/>
      <c r="K5" s="129"/>
    </row>
    <row r="6" spans="1:11" s="82" customFormat="1" x14ac:dyDescent="0.25">
      <c r="A6" s="57"/>
      <c r="B6" s="62" t="s">
        <v>162</v>
      </c>
      <c r="C6" s="90">
        <v>1</v>
      </c>
      <c r="D6" s="63" t="s">
        <v>50</v>
      </c>
      <c r="E6" s="91">
        <f>2500+1000+500+1500</f>
        <v>5500</v>
      </c>
      <c r="F6" s="64">
        <f t="shared" ref="F6" si="1">IF(C6&gt;0,C6*E6,"")</f>
        <v>5500</v>
      </c>
      <c r="G6"/>
      <c r="K6" s="129"/>
    </row>
    <row r="7" spans="1:11" s="82" customFormat="1" x14ac:dyDescent="0.25">
      <c r="A7" s="57"/>
      <c r="B7" s="62"/>
      <c r="C7" s="127"/>
      <c r="D7" s="63"/>
      <c r="E7" s="91"/>
      <c r="F7" s="64" t="str">
        <f t="shared" si="0"/>
        <v/>
      </c>
      <c r="G7"/>
      <c r="K7" s="129"/>
    </row>
    <row r="8" spans="1:11" s="82" customFormat="1" x14ac:dyDescent="0.25">
      <c r="A8" s="57"/>
      <c r="B8" s="62" t="s">
        <v>163</v>
      </c>
      <c r="C8" s="90">
        <v>1</v>
      </c>
      <c r="D8" s="63" t="s">
        <v>50</v>
      </c>
      <c r="E8" s="91">
        <f>2500+750*2+650*2+500*2</f>
        <v>6300</v>
      </c>
      <c r="F8" s="64">
        <f t="shared" si="0"/>
        <v>6300</v>
      </c>
      <c r="G8"/>
      <c r="K8" s="129"/>
    </row>
    <row r="9" spans="1:11" s="82" customFormat="1" x14ac:dyDescent="0.25">
      <c r="A9" s="57"/>
      <c r="B9" s="62"/>
      <c r="C9" s="127"/>
      <c r="D9" s="63"/>
      <c r="E9" s="91"/>
      <c r="F9" s="64" t="str">
        <f t="shared" si="0"/>
        <v/>
      </c>
      <c r="G9"/>
      <c r="K9" s="129"/>
    </row>
    <row r="10" spans="1:11" s="82" customFormat="1" x14ac:dyDescent="0.25">
      <c r="A10" s="57"/>
      <c r="B10" s="62" t="s">
        <v>171</v>
      </c>
      <c r="C10" s="90">
        <v>1</v>
      </c>
      <c r="D10" s="63" t="s">
        <v>50</v>
      </c>
      <c r="E10" s="91">
        <v>2500</v>
      </c>
      <c r="F10" s="64">
        <f t="shared" ref="F10" si="2">IF(C10&gt;0,C10*E10,"")</f>
        <v>2500</v>
      </c>
      <c r="G10"/>
      <c r="K10" s="129"/>
    </row>
    <row r="11" spans="1:11" s="82" customFormat="1" x14ac:dyDescent="0.25">
      <c r="A11" s="57"/>
      <c r="B11" s="62"/>
      <c r="C11" s="90"/>
      <c r="D11" s="63"/>
      <c r="E11" s="91"/>
      <c r="F11" s="64" t="str">
        <f t="shared" si="0"/>
        <v/>
      </c>
    </row>
    <row r="12" spans="1:11" s="82" customFormat="1" x14ac:dyDescent="0.25">
      <c r="A12" s="57"/>
      <c r="B12" s="62" t="s">
        <v>172</v>
      </c>
      <c r="C12" s="90">
        <v>1</v>
      </c>
      <c r="D12" s="63" t="s">
        <v>50</v>
      </c>
      <c r="E12" s="91">
        <f>750+750+500</f>
        <v>2000</v>
      </c>
      <c r="F12" s="64">
        <f t="shared" si="0"/>
        <v>2000</v>
      </c>
    </row>
    <row r="13" spans="1:11" s="82" customFormat="1" x14ac:dyDescent="0.25">
      <c r="A13" s="57"/>
      <c r="B13" s="62"/>
      <c r="C13" s="90"/>
      <c r="D13" s="63"/>
      <c r="E13" s="91"/>
      <c r="F13" s="64"/>
    </row>
    <row r="14" spans="1:11" s="82" customFormat="1" x14ac:dyDescent="0.25">
      <c r="A14" s="57"/>
      <c r="B14" s="62" t="s">
        <v>98</v>
      </c>
      <c r="C14" s="90">
        <v>5</v>
      </c>
      <c r="D14" s="63" t="s">
        <v>50</v>
      </c>
      <c r="E14" s="91">
        <v>500</v>
      </c>
      <c r="F14" s="64">
        <f t="shared" ref="F14:F16" si="3">IF(C14&gt;0,C14*E14,"")</f>
        <v>2500</v>
      </c>
    </row>
    <row r="15" spans="1:11" s="82" customFormat="1" x14ac:dyDescent="0.25">
      <c r="A15" s="57"/>
      <c r="B15" s="62"/>
      <c r="C15" s="90"/>
      <c r="D15" s="63"/>
      <c r="E15" s="91"/>
      <c r="F15" s="64"/>
    </row>
    <row r="16" spans="1:11" s="82" customFormat="1" x14ac:dyDescent="0.25">
      <c r="A16" s="57"/>
      <c r="B16" s="62" t="s">
        <v>173</v>
      </c>
      <c r="C16" s="90">
        <v>1</v>
      </c>
      <c r="D16" s="63" t="s">
        <v>50</v>
      </c>
      <c r="E16" s="91">
        <v>750</v>
      </c>
      <c r="F16" s="64">
        <f t="shared" si="3"/>
        <v>750</v>
      </c>
    </row>
    <row r="17" spans="1:6" s="82" customFormat="1" x14ac:dyDescent="0.25">
      <c r="A17" s="57"/>
      <c r="B17" s="62"/>
      <c r="C17" s="127"/>
      <c r="D17" s="63"/>
      <c r="E17" s="91"/>
      <c r="F17" s="64" t="str">
        <f>IF(C17&gt;0,C17*E17,"")</f>
        <v/>
      </c>
    </row>
    <row r="18" spans="1:6" x14ac:dyDescent="0.25">
      <c r="A18" s="57"/>
      <c r="B18" s="65" t="s">
        <v>137</v>
      </c>
      <c r="C18" s="90"/>
      <c r="D18" s="63"/>
      <c r="E18" s="91"/>
      <c r="F18" s="92">
        <f>SUM(F4:F17)</f>
        <v>22050</v>
      </c>
    </row>
    <row r="19" spans="1:6" ht="13.8" thickTop="1" x14ac:dyDescent="0.25">
      <c r="A19" s="57"/>
      <c r="B19" s="65"/>
      <c r="C19" s="90"/>
      <c r="D19" s="63"/>
      <c r="E19" s="91"/>
      <c r="F19" s="119"/>
    </row>
    <row r="20" spans="1:6" x14ac:dyDescent="0.25">
      <c r="A20" s="57"/>
      <c r="B20" s="62"/>
      <c r="C20" s="130"/>
      <c r="D20" s="63"/>
      <c r="E20" s="108"/>
      <c r="F20" s="105"/>
    </row>
    <row r="21" spans="1:6" x14ac:dyDescent="0.25">
      <c r="A21" s="57"/>
      <c r="B21" s="62"/>
      <c r="C21" s="130"/>
      <c r="D21" s="63"/>
      <c r="E21" s="108"/>
      <c r="F21" s="105"/>
    </row>
    <row r="22" spans="1:6" x14ac:dyDescent="0.25">
      <c r="A22" s="57"/>
      <c r="B22" s="106"/>
      <c r="C22" s="130"/>
      <c r="D22" s="104"/>
      <c r="E22" s="108"/>
      <c r="F22" s="105" t="str">
        <f>IF(C22&gt;0,C22*E22,"")</f>
        <v/>
      </c>
    </row>
    <row r="23" spans="1:6" x14ac:dyDescent="0.25">
      <c r="A23" s="57"/>
      <c r="B23" s="62"/>
      <c r="C23" s="130"/>
      <c r="D23" s="63"/>
      <c r="E23" s="108"/>
      <c r="F23" s="105" t="str">
        <f>IF(C23&gt;0,C23*E23,"")</f>
        <v/>
      </c>
    </row>
    <row r="24" spans="1:6" x14ac:dyDescent="0.25">
      <c r="A24" s="70"/>
      <c r="B24" s="94"/>
      <c r="C24" s="95"/>
      <c r="D24" s="96"/>
      <c r="E24" s="92"/>
      <c r="F24" s="92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MJ29"/>
  <sheetViews>
    <sheetView showOutlineSymbols="0" view="pageBreakPreview" zoomScaleNormal="100" zoomScaleSheetLayoutView="100" workbookViewId="0">
      <selection activeCell="G2" sqref="G2"/>
    </sheetView>
  </sheetViews>
  <sheetFormatPr defaultColWidth="9.109375" defaultRowHeight="13.2" x14ac:dyDescent="0.25"/>
  <cols>
    <col min="1" max="1" width="7" style="77" customWidth="1"/>
    <col min="2" max="2" width="55.88671875" style="78" customWidth="1"/>
    <col min="3" max="3" width="5" style="82" bestFit="1" customWidth="1"/>
    <col min="4" max="4" width="5.44140625" style="80" customWidth="1"/>
    <col min="5" max="5" width="10.109375" style="81" customWidth="1"/>
    <col min="6" max="7" width="11.5546875" style="82" customWidth="1"/>
    <col min="8" max="9" width="9.109375" style="82"/>
    <col min="10" max="10" width="10.5546875" style="124" customWidth="1"/>
    <col min="11" max="11" width="13.109375" style="124" customWidth="1"/>
    <col min="12" max="15" width="10.5546875" style="124" customWidth="1"/>
    <col min="16" max="16" width="11.5546875" style="124" customWidth="1"/>
    <col min="17" max="19" width="9.109375" style="124"/>
    <col min="20" max="1024" width="9.109375" style="82"/>
  </cols>
  <sheetData>
    <row r="1" spans="1:15" x14ac:dyDescent="0.25">
      <c r="A1" s="83"/>
      <c r="B1" s="84"/>
      <c r="C1" s="86" t="s">
        <v>38</v>
      </c>
      <c r="D1" s="86" t="s">
        <v>13</v>
      </c>
      <c r="E1" s="87" t="s">
        <v>39</v>
      </c>
      <c r="F1" s="86" t="s">
        <v>4</v>
      </c>
    </row>
    <row r="2" spans="1:15" x14ac:dyDescent="0.25">
      <c r="A2" s="49"/>
      <c r="B2" s="88" t="s">
        <v>63</v>
      </c>
      <c r="C2" s="89"/>
      <c r="D2" s="63"/>
      <c r="E2" s="64"/>
      <c r="F2" s="64" t="str">
        <f t="shared" ref="F2:F24" si="0">IF(C2&gt;0,C2*E2,"")</f>
        <v/>
      </c>
    </row>
    <row r="3" spans="1:15" x14ac:dyDescent="0.25">
      <c r="A3" s="49"/>
      <c r="B3" s="88"/>
      <c r="C3" s="89"/>
      <c r="D3" s="63"/>
      <c r="E3" s="64"/>
      <c r="F3" s="64" t="str">
        <f t="shared" si="0"/>
        <v/>
      </c>
    </row>
    <row r="4" spans="1:15" x14ac:dyDescent="0.25">
      <c r="A4" s="49"/>
      <c r="B4" s="200" t="s">
        <v>127</v>
      </c>
      <c r="C4" s="89">
        <v>409</v>
      </c>
      <c r="D4" s="63" t="s">
        <v>42</v>
      </c>
      <c r="E4" s="64">
        <v>5</v>
      </c>
      <c r="F4" s="64">
        <f t="shared" si="0"/>
        <v>2045</v>
      </c>
      <c r="J4" s="123"/>
      <c r="K4" s="123"/>
      <c r="L4" s="123"/>
      <c r="M4" s="123"/>
      <c r="N4" s="123"/>
      <c r="O4" s="123"/>
    </row>
    <row r="5" spans="1:15" x14ac:dyDescent="0.25">
      <c r="A5" s="49"/>
      <c r="B5" s="199"/>
      <c r="C5" s="89"/>
      <c r="D5" s="63"/>
      <c r="E5" s="64"/>
      <c r="F5" s="64" t="str">
        <f t="shared" si="0"/>
        <v/>
      </c>
      <c r="J5" s="123"/>
      <c r="K5" s="123"/>
      <c r="L5" s="123"/>
      <c r="M5" s="123"/>
      <c r="N5" s="123"/>
      <c r="O5" s="123"/>
    </row>
    <row r="6" spans="1:15" x14ac:dyDescent="0.25">
      <c r="A6" s="49"/>
      <c r="B6" s="199" t="s">
        <v>119</v>
      </c>
      <c r="C6" s="89">
        <v>254</v>
      </c>
      <c r="D6" s="63" t="s">
        <v>42</v>
      </c>
      <c r="E6" s="64">
        <v>7.5</v>
      </c>
      <c r="F6" s="64">
        <f t="shared" si="0"/>
        <v>1905</v>
      </c>
      <c r="J6" s="123"/>
      <c r="K6" s="123"/>
      <c r="L6" s="123"/>
      <c r="M6" s="123"/>
      <c r="N6" s="123"/>
      <c r="O6" s="123"/>
    </row>
    <row r="7" spans="1:15" x14ac:dyDescent="0.25">
      <c r="A7" s="49"/>
      <c r="B7" s="199"/>
      <c r="C7" s="89"/>
      <c r="D7" s="63"/>
      <c r="E7" s="64"/>
      <c r="F7" s="64" t="str">
        <f t="shared" si="0"/>
        <v/>
      </c>
      <c r="J7" s="123"/>
      <c r="K7" s="123"/>
      <c r="L7" s="123"/>
      <c r="M7" s="123"/>
      <c r="N7" s="123"/>
      <c r="O7" s="123"/>
    </row>
    <row r="8" spans="1:15" x14ac:dyDescent="0.25">
      <c r="A8" s="49"/>
      <c r="B8" s="200" t="s">
        <v>175</v>
      </c>
      <c r="C8" s="89">
        <v>1</v>
      </c>
      <c r="D8" s="63" t="s">
        <v>69</v>
      </c>
      <c r="E8" s="64">
        <v>5500</v>
      </c>
      <c r="F8" s="64">
        <f t="shared" ref="F8" si="1">IF(C8&gt;0,C8*E8,"")</f>
        <v>5500</v>
      </c>
      <c r="J8" s="123"/>
      <c r="K8" s="123"/>
      <c r="L8" s="123"/>
      <c r="M8" s="123"/>
      <c r="N8" s="123"/>
      <c r="O8" s="123"/>
    </row>
    <row r="9" spans="1:15" x14ac:dyDescent="0.25">
      <c r="A9" s="49"/>
      <c r="B9" s="210" t="s">
        <v>176</v>
      </c>
      <c r="C9" s="89">
        <v>1</v>
      </c>
      <c r="D9" s="63" t="s">
        <v>69</v>
      </c>
      <c r="E9" s="64">
        <f>11000-E8</f>
        <v>5500</v>
      </c>
      <c r="F9" s="64">
        <f t="shared" si="0"/>
        <v>5500</v>
      </c>
      <c r="J9" s="123"/>
      <c r="K9" s="123"/>
      <c r="L9" s="123"/>
      <c r="M9" s="123"/>
      <c r="N9" s="123"/>
      <c r="O9" s="123"/>
    </row>
    <row r="10" spans="1:15" x14ac:dyDescent="0.25">
      <c r="A10" s="49"/>
      <c r="B10" s="210" t="s">
        <v>177</v>
      </c>
      <c r="C10" s="89">
        <v>1</v>
      </c>
      <c r="D10" s="63" t="s">
        <v>69</v>
      </c>
      <c r="E10" s="64">
        <v>2000</v>
      </c>
      <c r="F10" s="64">
        <f t="shared" ref="F10" si="2">IF(C10&gt;0,C10*E10,"")</f>
        <v>2000</v>
      </c>
      <c r="J10" s="123"/>
      <c r="K10" s="123"/>
      <c r="L10" s="123"/>
      <c r="M10" s="123"/>
      <c r="N10" s="123"/>
      <c r="O10" s="123"/>
    </row>
    <row r="11" spans="1:15" x14ac:dyDescent="0.25">
      <c r="A11" s="49"/>
      <c r="B11" s="199"/>
      <c r="C11" s="89"/>
      <c r="D11" s="63"/>
      <c r="E11" s="64"/>
      <c r="F11" s="64" t="str">
        <f t="shared" si="0"/>
        <v/>
      </c>
      <c r="J11" s="123"/>
      <c r="K11" s="123"/>
      <c r="L11" s="123"/>
      <c r="M11" s="123"/>
      <c r="N11" s="123"/>
      <c r="O11" s="123"/>
    </row>
    <row r="12" spans="1:15" x14ac:dyDescent="0.25">
      <c r="A12" s="49"/>
      <c r="B12" s="199" t="s">
        <v>120</v>
      </c>
      <c r="C12" s="89">
        <v>409</v>
      </c>
      <c r="D12" s="63" t="s">
        <v>42</v>
      </c>
      <c r="E12" s="64">
        <v>115</v>
      </c>
      <c r="F12" s="64">
        <f t="shared" si="0"/>
        <v>47035</v>
      </c>
      <c r="J12" s="123"/>
      <c r="K12" s="123"/>
      <c r="L12" s="123"/>
      <c r="M12" s="123"/>
      <c r="N12" s="123"/>
      <c r="O12" s="123"/>
    </row>
    <row r="13" spans="1:15" x14ac:dyDescent="0.25">
      <c r="A13" s="49"/>
      <c r="B13" s="199"/>
      <c r="C13" s="89"/>
      <c r="D13" s="63"/>
      <c r="E13" s="64"/>
      <c r="F13" s="64" t="str">
        <f t="shared" si="0"/>
        <v/>
      </c>
      <c r="J13" s="123"/>
      <c r="K13" s="123"/>
      <c r="L13" s="123"/>
      <c r="M13" s="123"/>
      <c r="N13" s="123"/>
      <c r="O13" s="123"/>
    </row>
    <row r="14" spans="1:15" x14ac:dyDescent="0.25">
      <c r="A14" s="49"/>
      <c r="B14" s="199" t="s">
        <v>121</v>
      </c>
      <c r="C14" s="89">
        <v>1</v>
      </c>
      <c r="D14" s="63" t="s">
        <v>69</v>
      </c>
      <c r="E14" s="64">
        <v>2000</v>
      </c>
      <c r="F14" s="64">
        <f t="shared" si="0"/>
        <v>2000</v>
      </c>
      <c r="J14" s="123"/>
      <c r="K14" s="123"/>
      <c r="L14" s="123"/>
      <c r="M14" s="123"/>
      <c r="N14" s="123"/>
      <c r="O14" s="123"/>
    </row>
    <row r="15" spans="1:15" x14ac:dyDescent="0.25">
      <c r="A15" s="49"/>
      <c r="B15" s="199"/>
      <c r="C15" s="89"/>
      <c r="D15" s="63"/>
      <c r="E15" s="64"/>
      <c r="F15" s="64" t="str">
        <f t="shared" si="0"/>
        <v/>
      </c>
      <c r="J15" s="123"/>
      <c r="K15" s="123"/>
      <c r="L15" s="123"/>
      <c r="M15" s="123"/>
      <c r="N15" s="123"/>
      <c r="O15" s="123"/>
    </row>
    <row r="16" spans="1:15" x14ac:dyDescent="0.25">
      <c r="A16" s="49"/>
      <c r="B16" s="199" t="s">
        <v>122</v>
      </c>
      <c r="C16" s="89">
        <v>1</v>
      </c>
      <c r="D16" s="63" t="s">
        <v>69</v>
      </c>
      <c r="E16" s="64">
        <v>3000</v>
      </c>
      <c r="F16" s="64">
        <f t="shared" si="0"/>
        <v>3000</v>
      </c>
      <c r="J16" s="123"/>
      <c r="K16" s="123"/>
      <c r="L16" s="123"/>
      <c r="M16" s="123"/>
      <c r="N16" s="123"/>
      <c r="O16" s="123"/>
    </row>
    <row r="17" spans="1:15" x14ac:dyDescent="0.25">
      <c r="A17" s="49"/>
      <c r="B17" s="199"/>
      <c r="C17" s="89"/>
      <c r="D17" s="63"/>
      <c r="E17" s="64"/>
      <c r="F17" s="64" t="str">
        <f t="shared" si="0"/>
        <v/>
      </c>
      <c r="J17" s="123"/>
      <c r="K17" s="123"/>
      <c r="L17" s="123"/>
      <c r="M17" s="123"/>
      <c r="N17" s="123"/>
      <c r="O17" s="123"/>
    </row>
    <row r="18" spans="1:15" x14ac:dyDescent="0.25">
      <c r="A18" s="49"/>
      <c r="B18" s="199" t="s">
        <v>123</v>
      </c>
      <c r="C18" s="89">
        <v>1</v>
      </c>
      <c r="D18" s="63" t="s">
        <v>69</v>
      </c>
      <c r="E18" s="64">
        <v>3000</v>
      </c>
      <c r="F18" s="64">
        <f t="shared" ref="F18" si="3">IF(C18&gt;0,C18*E18,"")</f>
        <v>3000</v>
      </c>
      <c r="J18" s="123"/>
      <c r="K18" s="123"/>
      <c r="L18" s="123"/>
      <c r="M18" s="123"/>
      <c r="N18" s="123"/>
      <c r="O18" s="123"/>
    </row>
    <row r="19" spans="1:15" x14ac:dyDescent="0.25">
      <c r="A19" s="49"/>
      <c r="B19" s="199"/>
      <c r="C19" s="89"/>
      <c r="D19" s="63"/>
      <c r="E19" s="64"/>
      <c r="F19" s="64" t="str">
        <f t="shared" si="0"/>
        <v/>
      </c>
      <c r="J19" s="123"/>
      <c r="K19" s="123"/>
      <c r="L19" s="123"/>
      <c r="M19" s="123"/>
      <c r="N19" s="123"/>
      <c r="O19" s="123"/>
    </row>
    <row r="20" spans="1:15" x14ac:dyDescent="0.25">
      <c r="A20" s="49"/>
      <c r="B20" s="199" t="s">
        <v>124</v>
      </c>
      <c r="C20" s="89">
        <v>409</v>
      </c>
      <c r="D20" s="63" t="s">
        <v>42</v>
      </c>
      <c r="E20" s="64">
        <v>40</v>
      </c>
      <c r="F20" s="64">
        <f t="shared" si="0"/>
        <v>16360</v>
      </c>
      <c r="J20" s="123"/>
      <c r="K20" s="123"/>
      <c r="L20" s="123"/>
      <c r="M20" s="123"/>
      <c r="N20" s="123"/>
      <c r="O20" s="123"/>
    </row>
    <row r="21" spans="1:15" x14ac:dyDescent="0.25">
      <c r="A21" s="49"/>
      <c r="B21" s="199"/>
      <c r="C21" s="89"/>
      <c r="D21" s="63"/>
      <c r="E21" s="64"/>
      <c r="F21" s="64" t="str">
        <f t="shared" si="0"/>
        <v/>
      </c>
      <c r="J21" s="123"/>
      <c r="K21" s="123"/>
      <c r="L21" s="123"/>
      <c r="M21" s="123"/>
      <c r="N21" s="123"/>
      <c r="O21" s="123"/>
    </row>
    <row r="22" spans="1:15" x14ac:dyDescent="0.25">
      <c r="A22" s="49"/>
      <c r="B22" s="199" t="s">
        <v>125</v>
      </c>
      <c r="C22" s="89">
        <v>1</v>
      </c>
      <c r="D22" s="63" t="s">
        <v>69</v>
      </c>
      <c r="E22" s="64">
        <f>8*300</f>
        <v>2400</v>
      </c>
      <c r="F22" s="64">
        <f t="shared" si="0"/>
        <v>2400</v>
      </c>
      <c r="J22" s="123"/>
      <c r="K22" s="123"/>
      <c r="L22" s="123"/>
      <c r="M22" s="123"/>
      <c r="N22" s="123"/>
      <c r="O22" s="123"/>
    </row>
    <row r="23" spans="1:15" x14ac:dyDescent="0.25">
      <c r="A23" s="49"/>
      <c r="B23" s="199"/>
      <c r="C23" s="89"/>
      <c r="D23" s="63"/>
      <c r="E23" s="64"/>
      <c r="F23" s="64" t="str">
        <f t="shared" si="0"/>
        <v/>
      </c>
      <c r="J23" s="123"/>
      <c r="K23" s="123"/>
      <c r="L23" s="123"/>
      <c r="M23" s="123"/>
      <c r="N23" s="123"/>
      <c r="O23" s="123"/>
    </row>
    <row r="24" spans="1:15" x14ac:dyDescent="0.25">
      <c r="A24" s="49"/>
      <c r="B24" s="199" t="s">
        <v>126</v>
      </c>
      <c r="C24" s="89">
        <v>1</v>
      </c>
      <c r="D24" s="63" t="s">
        <v>69</v>
      </c>
      <c r="E24" s="64">
        <v>2500</v>
      </c>
      <c r="F24" s="64">
        <f t="shared" si="0"/>
        <v>2500</v>
      </c>
      <c r="J24" s="123"/>
      <c r="K24" s="123"/>
      <c r="L24" s="123"/>
      <c r="M24" s="123"/>
      <c r="N24" s="123"/>
      <c r="O24" s="123"/>
    </row>
    <row r="25" spans="1:15" x14ac:dyDescent="0.25">
      <c r="A25" s="49"/>
      <c r="B25" s="88"/>
      <c r="C25" s="89"/>
      <c r="D25" s="63"/>
      <c r="E25" s="64"/>
      <c r="F25" s="64"/>
      <c r="J25" s="123"/>
      <c r="K25" s="123"/>
      <c r="L25" s="123"/>
      <c r="M25" s="123"/>
      <c r="N25" s="123"/>
      <c r="O25" s="123"/>
    </row>
    <row r="26" spans="1:15" x14ac:dyDescent="0.25">
      <c r="A26" s="54"/>
      <c r="B26" s="62"/>
      <c r="C26" s="127"/>
      <c r="D26" s="63"/>
      <c r="E26" s="91"/>
      <c r="F26" s="64"/>
      <c r="I26"/>
    </row>
    <row r="27" spans="1:15" ht="13.8" thickBot="1" x14ac:dyDescent="0.3">
      <c r="A27" s="57"/>
      <c r="B27" s="65" t="s">
        <v>137</v>
      </c>
      <c r="C27" s="90"/>
      <c r="D27" s="63"/>
      <c r="E27" s="91"/>
      <c r="F27" s="92">
        <f>SUM(F4:F26)</f>
        <v>93245</v>
      </c>
      <c r="I27"/>
    </row>
    <row r="28" spans="1:15" ht="13.8" thickTop="1" x14ac:dyDescent="0.25">
      <c r="A28" s="57"/>
      <c r="B28" s="62"/>
      <c r="C28" s="127"/>
      <c r="D28" s="63"/>
      <c r="E28" s="91"/>
      <c r="F28" s="64" t="str">
        <f>IF(C28&gt;0,C28*E28,"")</f>
        <v/>
      </c>
    </row>
    <row r="29" spans="1:15" x14ac:dyDescent="0.25">
      <c r="A29" s="70"/>
      <c r="B29" s="94"/>
      <c r="C29" s="95"/>
      <c r="D29" s="96"/>
      <c r="E29" s="92"/>
      <c r="F29" s="92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ME73"/>
  <sheetViews>
    <sheetView showOutlineSymbols="0" view="pageBreakPreview" zoomScaleNormal="100" zoomScaleSheetLayoutView="100" workbookViewId="0">
      <selection activeCell="B8" sqref="B8"/>
    </sheetView>
  </sheetViews>
  <sheetFormatPr defaultColWidth="9.109375" defaultRowHeight="13.2" x14ac:dyDescent="0.25"/>
  <cols>
    <col min="1" max="1" width="7.88671875" style="38" customWidth="1"/>
    <col min="2" max="2" width="55.88671875" style="39" customWidth="1"/>
    <col min="3" max="3" width="5" style="42" bestFit="1" customWidth="1"/>
    <col min="4" max="4" width="5.44140625" style="38" customWidth="1"/>
    <col min="5" max="5" width="9.5546875" style="41" customWidth="1"/>
    <col min="6" max="6" width="11.5546875" style="42" customWidth="1"/>
    <col min="7" max="7" width="9.88671875" style="42" bestFit="1" customWidth="1"/>
    <col min="8" max="1019" width="9.109375" style="42"/>
  </cols>
  <sheetData>
    <row r="1" spans="1:6" x14ac:dyDescent="0.25">
      <c r="A1" s="44"/>
      <c r="B1" s="45"/>
      <c r="C1" s="47" t="s">
        <v>38</v>
      </c>
      <c r="D1" s="47" t="s">
        <v>13</v>
      </c>
      <c r="E1" s="48" t="s">
        <v>39</v>
      </c>
      <c r="F1" s="47" t="s">
        <v>4</v>
      </c>
    </row>
    <row r="2" spans="1:6" x14ac:dyDescent="0.25">
      <c r="A2" s="57"/>
      <c r="B2" s="179" t="s">
        <v>290</v>
      </c>
      <c r="C2" s="128"/>
      <c r="D2" s="52"/>
      <c r="E2" s="76"/>
      <c r="F2" s="53"/>
    </row>
    <row r="3" spans="1:6" x14ac:dyDescent="0.25">
      <c r="A3" s="57"/>
      <c r="B3" s="179"/>
      <c r="C3" s="128"/>
      <c r="D3" s="52"/>
      <c r="E3" s="76"/>
      <c r="F3" s="53"/>
    </row>
    <row r="4" spans="1:6" x14ac:dyDescent="0.25">
      <c r="A4" s="57"/>
      <c r="B4" s="133" t="s">
        <v>300</v>
      </c>
      <c r="C4" s="128"/>
      <c r="D4" s="52"/>
      <c r="E4" s="76"/>
      <c r="F4" s="53"/>
    </row>
    <row r="5" spans="1:6" x14ac:dyDescent="0.25">
      <c r="A5" s="57"/>
      <c r="B5" s="133"/>
      <c r="C5" s="128"/>
      <c r="D5" s="52"/>
      <c r="E5" s="76"/>
      <c r="F5" s="53"/>
    </row>
    <row r="6" spans="1:6" ht="26.4" x14ac:dyDescent="0.25">
      <c r="A6" s="57"/>
      <c r="B6" s="55" t="s">
        <v>143</v>
      </c>
      <c r="C6" s="128">
        <v>1</v>
      </c>
      <c r="D6" s="145" t="s">
        <v>44</v>
      </c>
      <c r="E6" s="76">
        <v>1500</v>
      </c>
      <c r="F6" s="53">
        <f>IF(C6&gt;0,C6*E6,"")</f>
        <v>1500</v>
      </c>
    </row>
    <row r="7" spans="1:6" x14ac:dyDescent="0.25">
      <c r="A7" s="57"/>
      <c r="B7" s="55"/>
      <c r="C7" s="128"/>
      <c r="D7" s="145"/>
      <c r="E7" s="76"/>
      <c r="F7" s="53"/>
    </row>
    <row r="8" spans="1:6" ht="26.4" x14ac:dyDescent="0.25">
      <c r="A8" s="57"/>
      <c r="B8" s="55" t="s">
        <v>294</v>
      </c>
      <c r="C8" s="128">
        <v>1</v>
      </c>
      <c r="D8" s="145" t="s">
        <v>44</v>
      </c>
      <c r="E8" s="76">
        <v>5000</v>
      </c>
      <c r="F8" s="53">
        <f>IF(C8&gt;0,C8*E8,"")</f>
        <v>5000</v>
      </c>
    </row>
    <row r="9" spans="1:6" x14ac:dyDescent="0.25">
      <c r="A9" s="57"/>
      <c r="B9" s="55"/>
      <c r="C9" s="128"/>
      <c r="D9" s="145"/>
      <c r="E9" s="76"/>
      <c r="F9" s="53"/>
    </row>
    <row r="10" spans="1:6" x14ac:dyDescent="0.25">
      <c r="A10" s="57"/>
      <c r="B10" s="55" t="s">
        <v>305</v>
      </c>
      <c r="C10" s="128">
        <v>253.47</v>
      </c>
      <c r="D10" s="145" t="s">
        <v>42</v>
      </c>
      <c r="E10" s="76">
        <v>45</v>
      </c>
      <c r="F10" s="53">
        <f>IF(C10&gt;0,C10*E10,"")</f>
        <v>11406.15</v>
      </c>
    </row>
    <row r="11" spans="1:6" x14ac:dyDescent="0.25">
      <c r="A11" s="57"/>
      <c r="B11" s="55"/>
      <c r="C11" s="128"/>
      <c r="D11" s="145"/>
      <c r="E11" s="76"/>
      <c r="F11" s="53"/>
    </row>
    <row r="12" spans="1:6" x14ac:dyDescent="0.25">
      <c r="A12" s="57"/>
      <c r="B12" s="132" t="s">
        <v>301</v>
      </c>
      <c r="C12" s="128"/>
      <c r="D12" s="145"/>
      <c r="E12" s="76"/>
      <c r="F12" s="53"/>
    </row>
    <row r="13" spans="1:6" x14ac:dyDescent="0.25">
      <c r="A13" s="57"/>
      <c r="B13" s="55"/>
      <c r="C13" s="128"/>
      <c r="D13" s="145"/>
      <c r="E13" s="76"/>
      <c r="F13" s="53"/>
    </row>
    <row r="14" spans="1:6" ht="26.4" x14ac:dyDescent="0.25">
      <c r="A14" s="57"/>
      <c r="B14" s="55" t="s">
        <v>295</v>
      </c>
      <c r="C14" s="128">
        <v>1</v>
      </c>
      <c r="D14" s="145" t="s">
        <v>44</v>
      </c>
      <c r="E14" s="76">
        <v>300</v>
      </c>
      <c r="F14" s="53">
        <f>IF(C14&gt;0,C14*E14,"")</f>
        <v>300</v>
      </c>
    </row>
    <row r="15" spans="1:6" x14ac:dyDescent="0.25">
      <c r="A15" s="57"/>
      <c r="B15" s="55"/>
      <c r="C15" s="128"/>
      <c r="D15" s="145"/>
      <c r="E15" s="76"/>
      <c r="F15" s="53"/>
    </row>
    <row r="16" spans="1:6" x14ac:dyDescent="0.25">
      <c r="A16" s="57"/>
      <c r="B16" s="55" t="s">
        <v>296</v>
      </c>
      <c r="C16" s="128">
        <v>1</v>
      </c>
      <c r="D16" s="145" t="s">
        <v>44</v>
      </c>
      <c r="E16" s="76">
        <v>600</v>
      </c>
      <c r="F16" s="53">
        <f>IF(C16&gt;0,C16*E16,"")</f>
        <v>600</v>
      </c>
    </row>
    <row r="17" spans="1:1019" x14ac:dyDescent="0.25">
      <c r="A17" s="57"/>
      <c r="B17" s="55"/>
      <c r="C17" s="128"/>
      <c r="D17" s="145"/>
      <c r="E17" s="76"/>
      <c r="F17" s="53"/>
    </row>
    <row r="18" spans="1:1019" x14ac:dyDescent="0.25">
      <c r="A18" s="57"/>
      <c r="B18" s="55" t="s">
        <v>297</v>
      </c>
      <c r="C18" s="128">
        <v>1</v>
      </c>
      <c r="D18" s="145" t="s">
        <v>44</v>
      </c>
      <c r="E18" s="76">
        <v>200</v>
      </c>
      <c r="F18" s="53">
        <f>IF(C18&gt;0,C18*E18,"")</f>
        <v>200</v>
      </c>
    </row>
    <row r="19" spans="1:1019" x14ac:dyDescent="0.25">
      <c r="A19" s="57"/>
      <c r="B19" s="55"/>
      <c r="C19" s="128"/>
      <c r="D19" s="145"/>
      <c r="E19" s="76"/>
      <c r="F19" s="53"/>
    </row>
    <row r="20" spans="1:1019" x14ac:dyDescent="0.25">
      <c r="A20" s="57"/>
      <c r="B20" s="55" t="s">
        <v>298</v>
      </c>
      <c r="C20" s="128">
        <v>1</v>
      </c>
      <c r="D20" s="145" t="s">
        <v>44</v>
      </c>
      <c r="E20" s="76">
        <v>1500</v>
      </c>
      <c r="F20" s="53">
        <f>IF(C20&gt;0,C20*E20,"")</f>
        <v>1500</v>
      </c>
    </row>
    <row r="21" spans="1:1019" x14ac:dyDescent="0.25">
      <c r="A21" s="57"/>
      <c r="B21" s="55"/>
      <c r="C21" s="128"/>
      <c r="D21" s="145"/>
      <c r="E21" s="76"/>
      <c r="F21" s="53"/>
    </row>
    <row r="22" spans="1:1019" ht="26.4" x14ac:dyDescent="0.25">
      <c r="A22" s="57"/>
      <c r="B22" s="55" t="s">
        <v>293</v>
      </c>
      <c r="C22" s="128">
        <v>3</v>
      </c>
      <c r="D22" s="145" t="s">
        <v>44</v>
      </c>
      <c r="E22" s="76">
        <v>200</v>
      </c>
      <c r="F22" s="53">
        <f>IF(C22&gt;0,C22*E22,"")</f>
        <v>600</v>
      </c>
    </row>
    <row r="23" spans="1:1019" x14ac:dyDescent="0.25">
      <c r="A23" s="57"/>
      <c r="B23" s="55"/>
      <c r="C23" s="128"/>
      <c r="D23" s="145"/>
      <c r="E23" s="76"/>
      <c r="F23" s="53"/>
    </row>
    <row r="24" spans="1:1019" ht="26.4" x14ac:dyDescent="0.25">
      <c r="A24" s="57"/>
      <c r="B24" s="55" t="s">
        <v>299</v>
      </c>
      <c r="C24" s="128">
        <v>7</v>
      </c>
      <c r="D24" s="145" t="s">
        <v>44</v>
      </c>
      <c r="E24" s="76">
        <v>65</v>
      </c>
      <c r="F24" s="53">
        <f>IF(C24&gt;0,C24*E24,"")</f>
        <v>455</v>
      </c>
    </row>
    <row r="25" spans="1:1019" x14ac:dyDescent="0.25">
      <c r="A25" s="57"/>
      <c r="B25" s="55"/>
      <c r="C25" s="128"/>
      <c r="D25" s="145"/>
      <c r="E25" s="76"/>
      <c r="F25" s="53"/>
    </row>
    <row r="26" spans="1:1019" x14ac:dyDescent="0.25">
      <c r="A26" s="57"/>
      <c r="B26" s="132" t="s">
        <v>302</v>
      </c>
      <c r="C26" s="128"/>
      <c r="D26" s="145"/>
      <c r="E26" s="76"/>
      <c r="F26" s="53"/>
    </row>
    <row r="27" spans="1:1019" x14ac:dyDescent="0.25">
      <c r="A27" s="57"/>
      <c r="B27" s="55"/>
      <c r="C27" s="128"/>
      <c r="D27" s="145"/>
      <c r="E27" s="76"/>
      <c r="F27" s="53"/>
    </row>
    <row r="28" spans="1:1019" x14ac:dyDescent="0.25">
      <c r="A28" s="57"/>
      <c r="B28" s="55" t="s">
        <v>303</v>
      </c>
      <c r="C28" s="128">
        <v>253.47</v>
      </c>
      <c r="D28" s="145" t="s">
        <v>42</v>
      </c>
      <c r="E28" s="76">
        <v>7.5</v>
      </c>
      <c r="F28" s="53">
        <f>IF(C28&gt;0,C28*E28,"")</f>
        <v>1901.0250000000001</v>
      </c>
    </row>
    <row r="29" spans="1:1019" x14ac:dyDescent="0.25">
      <c r="A29" s="57"/>
      <c r="B29" s="55"/>
      <c r="C29" s="128"/>
      <c r="D29" s="145"/>
      <c r="E29" s="76"/>
      <c r="F29" s="53"/>
    </row>
    <row r="30" spans="1:1019" x14ac:dyDescent="0.25">
      <c r="A30" s="57"/>
      <c r="B30" s="55" t="s">
        <v>304</v>
      </c>
      <c r="C30" s="128">
        <v>253.47</v>
      </c>
      <c r="D30" s="145" t="s">
        <v>42</v>
      </c>
      <c r="E30" s="76">
        <v>15</v>
      </c>
      <c r="F30" s="53">
        <f>IF(C30&gt;0,C30*E30,"")</f>
        <v>3802.05</v>
      </c>
    </row>
    <row r="31" spans="1:1019" x14ac:dyDescent="0.25">
      <c r="A31" s="57"/>
      <c r="B31" s="55"/>
      <c r="C31" s="128"/>
      <c r="D31" s="145"/>
      <c r="E31" s="76"/>
      <c r="F31" s="53"/>
    </row>
    <row r="32" spans="1:1019" x14ac:dyDescent="0.25">
      <c r="A32" s="74"/>
      <c r="B32" s="144" t="s">
        <v>306</v>
      </c>
      <c r="C32" s="103">
        <f>4.8*4-0.8*3+2.7*2+6.1*2-0.8*2-2.1-2.2-2.8+10.5*4-2*2-0.8*2+9*2+5.3*2-1.5-2-2.4-0.8*2+4.5*2+1.5*2-0.8+2.2+2.5+1.8+3.6*4-0.8+2*2+4.5-0.8*3-4.75*2-4.5*2</f>
        <v>102.1</v>
      </c>
      <c r="D32" s="183" t="s">
        <v>41</v>
      </c>
      <c r="E32" s="105">
        <v>5</v>
      </c>
      <c r="F32" s="64">
        <f t="shared" ref="F32" si="0">IF(C32&gt;0,C32*E32,"")</f>
        <v>510.5</v>
      </c>
      <c r="G32" s="120"/>
      <c r="H32" s="120"/>
      <c r="I32" s="120"/>
      <c r="J32"/>
      <c r="K32"/>
      <c r="L32"/>
      <c r="M32" s="121"/>
      <c r="N32" s="121"/>
      <c r="O32" s="122"/>
      <c r="P32" s="12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</row>
    <row r="33" spans="1:1019" x14ac:dyDescent="0.25">
      <c r="A33" s="74"/>
      <c r="B33" s="146"/>
      <c r="C33" s="103"/>
      <c r="D33" s="183"/>
      <c r="E33" s="105"/>
      <c r="F33" s="64"/>
      <c r="G33" s="120"/>
      <c r="H33" s="120"/>
      <c r="I33" s="120"/>
      <c r="J33"/>
      <c r="K33"/>
      <c r="L33"/>
      <c r="M33" s="121"/>
      <c r="N33" s="121"/>
      <c r="O33" s="122"/>
      <c r="P33" s="122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</row>
    <row r="34" spans="1:1019" x14ac:dyDescent="0.25">
      <c r="A34" s="57"/>
      <c r="B34" s="132" t="s">
        <v>291</v>
      </c>
      <c r="C34" s="128"/>
      <c r="D34" s="145"/>
      <c r="E34" s="76"/>
      <c r="F34" s="53"/>
    </row>
    <row r="35" spans="1:1019" x14ac:dyDescent="0.25">
      <c r="A35" s="57"/>
      <c r="B35" s="55"/>
      <c r="C35" s="128"/>
      <c r="D35" s="52"/>
      <c r="E35" s="76"/>
      <c r="F35" s="53"/>
    </row>
    <row r="36" spans="1:1019" ht="26.4" x14ac:dyDescent="0.25">
      <c r="B36" s="55" t="s">
        <v>284</v>
      </c>
      <c r="C36" s="128">
        <v>1</v>
      </c>
      <c r="D36" s="145" t="s">
        <v>50</v>
      </c>
      <c r="E36" s="76">
        <f>2.7*3*200</f>
        <v>1620.0000000000002</v>
      </c>
      <c r="F36" s="53">
        <f>IF(C36&gt;0,C36*E36,"")</f>
        <v>1620.0000000000002</v>
      </c>
    </row>
    <row r="37" spans="1:1019" x14ac:dyDescent="0.25">
      <c r="B37" s="178" t="s">
        <v>285</v>
      </c>
      <c r="C37" s="128">
        <v>1</v>
      </c>
      <c r="D37" s="145" t="s">
        <v>50</v>
      </c>
      <c r="E37" s="76">
        <v>500</v>
      </c>
      <c r="F37" s="53">
        <f>IF(C37&gt;0,C37*E37,"")</f>
        <v>500</v>
      </c>
    </row>
    <row r="38" spans="1:1019" x14ac:dyDescent="0.25">
      <c r="B38" s="55"/>
      <c r="C38" s="128"/>
      <c r="D38" s="52"/>
      <c r="E38" s="76"/>
      <c r="F38" s="53"/>
    </row>
    <row r="39" spans="1:1019" x14ac:dyDescent="0.25">
      <c r="B39" s="55" t="s">
        <v>286</v>
      </c>
      <c r="C39" s="128">
        <f>(4.8+2.1+2.7*2+3.3+1+2.9+1.7+1.2)*3.3+4.6*2.6</f>
        <v>85.879999999999981</v>
      </c>
      <c r="D39" s="145" t="s">
        <v>42</v>
      </c>
      <c r="E39" s="76">
        <v>50</v>
      </c>
      <c r="F39" s="53">
        <f>IF(C39&gt;0,C39*E39,"")</f>
        <v>4293.9999999999991</v>
      </c>
    </row>
    <row r="40" spans="1:1019" x14ac:dyDescent="0.25">
      <c r="B40" s="55"/>
      <c r="C40" s="128"/>
      <c r="D40" s="52"/>
      <c r="E40" s="76"/>
      <c r="F40" s="53"/>
    </row>
    <row r="41" spans="1:1019" ht="26.4" x14ac:dyDescent="0.25">
      <c r="B41" s="55" t="s">
        <v>289</v>
      </c>
      <c r="C41" s="128">
        <f>2.5*3.3</f>
        <v>8.25</v>
      </c>
      <c r="D41" s="145" t="s">
        <v>42</v>
      </c>
      <c r="E41" s="76">
        <v>200</v>
      </c>
      <c r="F41" s="160">
        <f>IF(C41&gt;0,C41*E41,"")</f>
        <v>1650</v>
      </c>
    </row>
    <row r="42" spans="1:1019" x14ac:dyDescent="0.25">
      <c r="B42" s="178" t="s">
        <v>287</v>
      </c>
      <c r="C42" s="128">
        <f>4.75*45/1000</f>
        <v>0.21375</v>
      </c>
      <c r="D42" s="145" t="s">
        <v>108</v>
      </c>
      <c r="E42" s="160">
        <v>5750</v>
      </c>
      <c r="F42" s="160">
        <f>IF(C42&gt;0,C42*E42,"")</f>
        <v>1229.0625</v>
      </c>
    </row>
    <row r="43" spans="1:1019" x14ac:dyDescent="0.25">
      <c r="B43" s="178" t="s">
        <v>288</v>
      </c>
      <c r="C43" s="128">
        <v>2</v>
      </c>
      <c r="D43" s="145" t="s">
        <v>50</v>
      </c>
      <c r="E43" s="76">
        <v>200</v>
      </c>
      <c r="F43" s="160">
        <f>IF(C43&gt;0,C43*E43,"")</f>
        <v>400</v>
      </c>
    </row>
    <row r="44" spans="1:1019" x14ac:dyDescent="0.25">
      <c r="B44" s="55"/>
      <c r="C44" s="128"/>
      <c r="D44" s="52"/>
      <c r="E44" s="76"/>
      <c r="F44" s="53"/>
    </row>
    <row r="45" spans="1:1019" ht="26.4" x14ac:dyDescent="0.25">
      <c r="B45" s="55" t="s">
        <v>289</v>
      </c>
      <c r="C45" s="128">
        <f>2.5*3.3</f>
        <v>8.25</v>
      </c>
      <c r="D45" s="145" t="s">
        <v>42</v>
      </c>
      <c r="E45" s="76">
        <v>200</v>
      </c>
      <c r="F45" s="160">
        <f>IF(C45&gt;0,C45*E45,"")</f>
        <v>1650</v>
      </c>
    </row>
    <row r="46" spans="1:1019" x14ac:dyDescent="0.25">
      <c r="B46" s="178" t="s">
        <v>287</v>
      </c>
      <c r="C46" s="128">
        <f>2.5*45/1000</f>
        <v>0.1125</v>
      </c>
      <c r="D46" s="145" t="s">
        <v>108</v>
      </c>
      <c r="E46" s="160">
        <v>5750</v>
      </c>
      <c r="F46" s="160">
        <f>IF(C46&gt;0,C46*E46,"")</f>
        <v>646.875</v>
      </c>
    </row>
    <row r="47" spans="1:1019" x14ac:dyDescent="0.25">
      <c r="B47" s="178" t="s">
        <v>288</v>
      </c>
      <c r="C47" s="128">
        <v>2</v>
      </c>
      <c r="D47" s="145" t="s">
        <v>50</v>
      </c>
      <c r="E47" s="76">
        <v>200</v>
      </c>
      <c r="F47" s="160">
        <f>IF(C47&gt;0,C47*E47,"")</f>
        <v>400</v>
      </c>
    </row>
    <row r="48" spans="1:1019" x14ac:dyDescent="0.25">
      <c r="B48" s="55"/>
      <c r="C48" s="128"/>
      <c r="D48" s="52"/>
      <c r="E48" s="76"/>
      <c r="F48" s="53"/>
    </row>
    <row r="49" spans="1:6" x14ac:dyDescent="0.25">
      <c r="B49" s="132" t="s">
        <v>292</v>
      </c>
      <c r="C49" s="128"/>
      <c r="D49" s="52"/>
      <c r="E49" s="76"/>
      <c r="F49" s="53"/>
    </row>
    <row r="50" spans="1:6" x14ac:dyDescent="0.25">
      <c r="B50" s="55"/>
      <c r="C50" s="128"/>
      <c r="D50" s="52"/>
      <c r="E50" s="76"/>
      <c r="F50" s="53"/>
    </row>
    <row r="51" spans="1:6" ht="26.4" x14ac:dyDescent="0.25">
      <c r="B51" s="55" t="s">
        <v>311</v>
      </c>
      <c r="C51" s="128">
        <v>1</v>
      </c>
      <c r="D51" s="145" t="s">
        <v>50</v>
      </c>
      <c r="E51" s="76">
        <v>800</v>
      </c>
      <c r="F51" s="160">
        <f>IF(C51&gt;0,C51*E51,"")</f>
        <v>800</v>
      </c>
    </row>
    <row r="52" spans="1:6" x14ac:dyDescent="0.25">
      <c r="B52" s="55"/>
      <c r="C52" s="128"/>
      <c r="D52" s="52"/>
      <c r="E52" s="76"/>
      <c r="F52" s="53"/>
    </row>
    <row r="53" spans="1:6" ht="26.4" x14ac:dyDescent="0.25">
      <c r="B53" s="55" t="s">
        <v>312</v>
      </c>
      <c r="C53" s="128">
        <v>1</v>
      </c>
      <c r="D53" s="145" t="s">
        <v>50</v>
      </c>
      <c r="E53" s="76">
        <v>1000</v>
      </c>
      <c r="F53" s="160">
        <f>IF(C53&gt;0,C53*E53,"")</f>
        <v>1000</v>
      </c>
    </row>
    <row r="54" spans="1:6" x14ac:dyDescent="0.25">
      <c r="B54" s="55"/>
      <c r="C54" s="128"/>
      <c r="D54" s="52"/>
      <c r="E54" s="76"/>
      <c r="F54" s="53"/>
    </row>
    <row r="55" spans="1:6" ht="26.4" x14ac:dyDescent="0.25">
      <c r="B55" s="55" t="s">
        <v>313</v>
      </c>
      <c r="C55" s="128">
        <v>1</v>
      </c>
      <c r="D55" s="145" t="s">
        <v>50</v>
      </c>
      <c r="E55" s="76">
        <v>850</v>
      </c>
      <c r="F55" s="160">
        <f>IF(C55&gt;0,C55*E55,"")</f>
        <v>850</v>
      </c>
    </row>
    <row r="56" spans="1:6" x14ac:dyDescent="0.25">
      <c r="B56" s="55"/>
      <c r="C56" s="128"/>
      <c r="D56" s="145"/>
      <c r="E56" s="76"/>
      <c r="F56" s="160"/>
    </row>
    <row r="57" spans="1:6" ht="26.4" x14ac:dyDescent="0.25">
      <c r="B57" s="55" t="s">
        <v>315</v>
      </c>
      <c r="C57" s="128">
        <v>1</v>
      </c>
      <c r="D57" s="145" t="s">
        <v>50</v>
      </c>
      <c r="E57" s="76">
        <v>1000</v>
      </c>
      <c r="F57" s="160">
        <f>IF(C57&gt;0,C57*E57,"")</f>
        <v>1000</v>
      </c>
    </row>
    <row r="58" spans="1:6" x14ac:dyDescent="0.25">
      <c r="B58" s="55"/>
      <c r="C58" s="128"/>
      <c r="D58" s="52"/>
      <c r="E58" s="76"/>
      <c r="F58" s="53"/>
    </row>
    <row r="59" spans="1:6" ht="26.4" x14ac:dyDescent="0.25">
      <c r="B59" s="55" t="s">
        <v>314</v>
      </c>
      <c r="C59" s="128">
        <v>1</v>
      </c>
      <c r="D59" s="145" t="s">
        <v>50</v>
      </c>
      <c r="E59" s="76">
        <v>1250</v>
      </c>
      <c r="F59" s="160">
        <f>IF(C59&gt;0,C59*E59,"")</f>
        <v>1250</v>
      </c>
    </row>
    <row r="60" spans="1:6" x14ac:dyDescent="0.25">
      <c r="B60" s="55"/>
      <c r="C60" s="128"/>
      <c r="D60" s="52"/>
      <c r="E60" s="76"/>
      <c r="F60" s="53"/>
    </row>
    <row r="61" spans="1:6" ht="26.4" x14ac:dyDescent="0.25">
      <c r="B61" s="55" t="s">
        <v>316</v>
      </c>
      <c r="C61" s="128">
        <v>1</v>
      </c>
      <c r="D61" s="145" t="s">
        <v>50</v>
      </c>
      <c r="E61" s="76">
        <v>750</v>
      </c>
      <c r="F61" s="160">
        <f>IF(C61&gt;0,C61*E61,"")</f>
        <v>750</v>
      </c>
    </row>
    <row r="62" spans="1:6" x14ac:dyDescent="0.25">
      <c r="B62" s="55"/>
      <c r="C62" s="128"/>
      <c r="D62" s="52"/>
      <c r="E62" s="76"/>
      <c r="F62" s="53"/>
    </row>
    <row r="63" spans="1:6" ht="26.4" x14ac:dyDescent="0.25">
      <c r="A63" s="57"/>
      <c r="B63" s="55" t="s">
        <v>317</v>
      </c>
      <c r="C63" s="128">
        <v>1</v>
      </c>
      <c r="D63" s="145" t="s">
        <v>50</v>
      </c>
      <c r="E63" s="76">
        <v>800</v>
      </c>
      <c r="F63" s="160">
        <f>IF(C63&gt;0,C63*E63,"")</f>
        <v>800</v>
      </c>
    </row>
    <row r="64" spans="1:6" x14ac:dyDescent="0.25">
      <c r="A64" s="57"/>
      <c r="B64" s="55"/>
      <c r="C64" s="128"/>
      <c r="D64" s="145"/>
      <c r="E64" s="76"/>
      <c r="F64" s="160"/>
    </row>
    <row r="65" spans="1:7" ht="26.4" x14ac:dyDescent="0.25">
      <c r="A65" s="57"/>
      <c r="B65" s="55" t="s">
        <v>327</v>
      </c>
      <c r="C65" s="128">
        <v>1</v>
      </c>
      <c r="D65" s="145" t="s">
        <v>50</v>
      </c>
      <c r="E65" s="76">
        <v>1000</v>
      </c>
      <c r="F65" s="160">
        <f>IF(C65&gt;0,C65*E65,"")</f>
        <v>1000</v>
      </c>
    </row>
    <row r="66" spans="1:7" x14ac:dyDescent="0.25">
      <c r="A66" s="57"/>
      <c r="B66" s="55"/>
      <c r="C66" s="118"/>
      <c r="D66" s="57"/>
      <c r="E66" s="60"/>
      <c r="F66" s="58"/>
    </row>
    <row r="67" spans="1:7" x14ac:dyDescent="0.25">
      <c r="A67" s="57"/>
      <c r="B67" s="223" t="s">
        <v>67</v>
      </c>
      <c r="C67" s="118"/>
      <c r="D67" s="57"/>
      <c r="E67" s="60"/>
      <c r="F67" s="58"/>
    </row>
    <row r="68" spans="1:7" x14ac:dyDescent="0.25">
      <c r="A68" s="57"/>
      <c r="B68" s="55"/>
      <c r="C68" s="118"/>
      <c r="D68" s="57"/>
      <c r="E68" s="60"/>
      <c r="F68" s="58"/>
    </row>
    <row r="69" spans="1:7" ht="26.4" x14ac:dyDescent="0.25">
      <c r="A69" s="57"/>
      <c r="B69" s="55" t="s">
        <v>84</v>
      </c>
      <c r="C69" s="118">
        <v>4</v>
      </c>
      <c r="D69" s="57" t="s">
        <v>82</v>
      </c>
      <c r="E69" s="60">
        <v>200</v>
      </c>
      <c r="F69" s="58">
        <f>IF(C69&gt;0,C69*E69,"")</f>
        <v>800</v>
      </c>
    </row>
    <row r="70" spans="1:7" x14ac:dyDescent="0.25">
      <c r="A70" s="57"/>
      <c r="B70" s="55"/>
      <c r="C70" s="128"/>
      <c r="D70" s="57"/>
      <c r="E70" s="76"/>
      <c r="F70" s="53"/>
    </row>
    <row r="71" spans="1:7" x14ac:dyDescent="0.25">
      <c r="A71" s="52"/>
      <c r="B71" s="75"/>
      <c r="C71" s="128"/>
      <c r="D71" s="52"/>
      <c r="E71" s="76"/>
      <c r="F71" s="53" t="str">
        <f t="shared" ref="F71" si="1">IF(C71&gt;0,C71*E71,"")</f>
        <v/>
      </c>
      <c r="G71" s="41"/>
    </row>
    <row r="72" spans="1:7" ht="13.8" thickBot="1" x14ac:dyDescent="0.3">
      <c r="A72" s="52"/>
      <c r="B72" s="68" t="s">
        <v>137</v>
      </c>
      <c r="C72" s="61"/>
      <c r="D72" s="57"/>
      <c r="E72" s="60"/>
      <c r="F72" s="66">
        <f>SUM(F6:F71)</f>
        <v>48414.662499999999</v>
      </c>
    </row>
    <row r="73" spans="1:7" ht="13.8" thickTop="1" x14ac:dyDescent="0.25">
      <c r="A73" s="57"/>
      <c r="B73" s="55"/>
      <c r="C73" s="61"/>
      <c r="D73" s="57"/>
      <c r="E73" s="60"/>
      <c r="F73" s="58" t="str">
        <f>IF(C73&gt;0,C73*E73,"")</f>
        <v/>
      </c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MJ35"/>
  <sheetViews>
    <sheetView showOutlineSymbols="0" view="pageBreakPreview" zoomScaleNormal="100" zoomScaleSheetLayoutView="100" workbookViewId="0">
      <selection activeCell="F3" sqref="F3"/>
    </sheetView>
  </sheetViews>
  <sheetFormatPr defaultColWidth="9.109375" defaultRowHeight="13.2" x14ac:dyDescent="0.25"/>
  <cols>
    <col min="1" max="1" width="7.44140625" style="77" customWidth="1"/>
    <col min="2" max="2" width="55.88671875" style="78" customWidth="1"/>
    <col min="3" max="3" width="5" style="82" bestFit="1" customWidth="1"/>
    <col min="4" max="4" width="5.44140625" style="80" customWidth="1"/>
    <col min="5" max="5" width="10.5546875" style="81" customWidth="1"/>
    <col min="6" max="7" width="11.5546875" style="82" customWidth="1"/>
    <col min="8" max="8" width="9.109375" style="82"/>
    <col min="9" max="9" width="10.5546875" style="82" customWidth="1"/>
    <col min="10" max="10" width="10.88671875" style="82" customWidth="1"/>
    <col min="11" max="13" width="10.5546875" style="82" customWidth="1"/>
    <col min="14" max="14" width="11.5546875" style="82" customWidth="1"/>
    <col min="15" max="1024" width="9.109375" style="82"/>
  </cols>
  <sheetData>
    <row r="1" spans="1:13" x14ac:dyDescent="0.25">
      <c r="A1" s="83"/>
      <c r="B1" s="84"/>
      <c r="C1" s="86" t="s">
        <v>38</v>
      </c>
      <c r="D1" s="86" t="s">
        <v>13</v>
      </c>
      <c r="E1" s="87" t="s">
        <v>39</v>
      </c>
      <c r="F1" s="86" t="s">
        <v>4</v>
      </c>
    </row>
    <row r="2" spans="1:13" x14ac:dyDescent="0.25">
      <c r="A2" s="49"/>
      <c r="B2" s="88" t="s">
        <v>64</v>
      </c>
      <c r="C2" s="89"/>
      <c r="D2" s="63"/>
      <c r="E2" s="64"/>
      <c r="F2" s="64"/>
    </row>
    <row r="3" spans="1:13" x14ac:dyDescent="0.25">
      <c r="A3" s="49"/>
      <c r="B3" s="88"/>
      <c r="C3" s="89"/>
      <c r="D3" s="63"/>
      <c r="E3" s="64"/>
      <c r="F3" s="64"/>
    </row>
    <row r="4" spans="1:13" x14ac:dyDescent="0.25">
      <c r="A4" s="49"/>
      <c r="B4" s="200" t="s">
        <v>127</v>
      </c>
      <c r="C4" s="89">
        <v>409</v>
      </c>
      <c r="D4" s="63" t="s">
        <v>42</v>
      </c>
      <c r="E4" s="64">
        <v>5</v>
      </c>
      <c r="F4" s="64">
        <f t="shared" ref="F4:F31" si="0">IF(C4&gt;0,C4*E4,"")</f>
        <v>2045</v>
      </c>
      <c r="J4" s="124"/>
      <c r="K4" s="124"/>
      <c r="L4" s="124"/>
      <c r="M4" s="124"/>
    </row>
    <row r="5" spans="1:13" x14ac:dyDescent="0.25">
      <c r="A5" s="54"/>
      <c r="B5" s="199"/>
      <c r="C5" s="89"/>
      <c r="D5" s="63"/>
      <c r="E5" s="64"/>
      <c r="F5" s="64" t="str">
        <f t="shared" si="0"/>
        <v/>
      </c>
      <c r="I5" s="123"/>
      <c r="J5" s="123"/>
      <c r="K5" s="123"/>
      <c r="L5" s="123"/>
      <c r="M5" s="123"/>
    </row>
    <row r="6" spans="1:13" x14ac:dyDescent="0.25">
      <c r="A6" s="54"/>
      <c r="B6" s="199" t="s">
        <v>119</v>
      </c>
      <c r="C6" s="89">
        <v>254</v>
      </c>
      <c r="D6" s="63" t="s">
        <v>42</v>
      </c>
      <c r="E6" s="64">
        <v>7.5</v>
      </c>
      <c r="F6" s="64">
        <f t="shared" si="0"/>
        <v>1905</v>
      </c>
      <c r="I6" s="123"/>
      <c r="J6" s="123"/>
      <c r="K6" s="123"/>
      <c r="L6" s="123"/>
      <c r="M6" s="123"/>
    </row>
    <row r="7" spans="1:13" x14ac:dyDescent="0.25">
      <c r="A7" s="54"/>
      <c r="B7" s="199"/>
      <c r="C7" s="89"/>
      <c r="D7" s="63"/>
      <c r="E7" s="64"/>
      <c r="F7" s="64" t="str">
        <f t="shared" si="0"/>
        <v/>
      </c>
      <c r="I7" s="123"/>
      <c r="J7" s="123"/>
      <c r="K7" s="123"/>
      <c r="L7" s="123"/>
      <c r="M7" s="123"/>
    </row>
    <row r="8" spans="1:13" x14ac:dyDescent="0.25">
      <c r="A8" s="54"/>
      <c r="B8" s="199" t="s">
        <v>128</v>
      </c>
      <c r="C8" s="89">
        <v>1</v>
      </c>
      <c r="D8" s="63" t="s">
        <v>44</v>
      </c>
      <c r="E8" s="64">
        <v>3500</v>
      </c>
      <c r="F8" s="64">
        <f t="shared" si="0"/>
        <v>3500</v>
      </c>
      <c r="I8" s="123"/>
      <c r="J8" s="123"/>
      <c r="K8" s="123"/>
      <c r="L8" s="123"/>
      <c r="M8" s="123"/>
    </row>
    <row r="9" spans="1:13" x14ac:dyDescent="0.25">
      <c r="A9" s="54"/>
      <c r="B9" s="199"/>
      <c r="C9" s="89"/>
      <c r="D9" s="63"/>
      <c r="E9" s="64"/>
      <c r="F9" s="64" t="str">
        <f t="shared" si="0"/>
        <v/>
      </c>
      <c r="I9" s="123"/>
      <c r="J9" s="123"/>
      <c r="K9" s="123"/>
      <c r="L9" s="123"/>
      <c r="M9" s="123"/>
    </row>
    <row r="10" spans="1:13" x14ac:dyDescent="0.25">
      <c r="A10" s="54"/>
      <c r="B10" s="199" t="s">
        <v>129</v>
      </c>
      <c r="C10" s="89">
        <v>409</v>
      </c>
      <c r="D10" s="63" t="s">
        <v>42</v>
      </c>
      <c r="E10" s="64">
        <v>45</v>
      </c>
      <c r="F10" s="64">
        <f t="shared" si="0"/>
        <v>18405</v>
      </c>
      <c r="I10" s="123"/>
      <c r="J10" s="123"/>
      <c r="K10" s="123"/>
      <c r="L10" s="123"/>
      <c r="M10" s="123"/>
    </row>
    <row r="11" spans="1:13" x14ac:dyDescent="0.25">
      <c r="A11" s="54"/>
      <c r="B11" s="199"/>
      <c r="C11" s="89"/>
      <c r="D11" s="63"/>
      <c r="E11" s="64"/>
      <c r="F11" s="64" t="str">
        <f t="shared" si="0"/>
        <v/>
      </c>
      <c r="I11" s="123"/>
      <c r="J11" s="123"/>
      <c r="K11" s="123"/>
      <c r="L11" s="123"/>
      <c r="M11" s="123"/>
    </row>
    <row r="12" spans="1:13" x14ac:dyDescent="0.25">
      <c r="A12" s="54"/>
      <c r="B12" s="199" t="s">
        <v>130</v>
      </c>
      <c r="C12" s="89">
        <v>409</v>
      </c>
      <c r="D12" s="63" t="s">
        <v>42</v>
      </c>
      <c r="E12" s="64">
        <v>45</v>
      </c>
      <c r="F12" s="64">
        <f t="shared" si="0"/>
        <v>18405</v>
      </c>
      <c r="I12" s="123"/>
      <c r="J12" s="123"/>
      <c r="K12" s="123"/>
      <c r="L12" s="123"/>
      <c r="M12" s="123"/>
    </row>
    <row r="13" spans="1:13" x14ac:dyDescent="0.25">
      <c r="A13" s="54"/>
      <c r="B13" s="199"/>
      <c r="C13" s="89"/>
      <c r="D13" s="63"/>
      <c r="E13" s="64"/>
      <c r="F13" s="64" t="str">
        <f t="shared" si="0"/>
        <v/>
      </c>
      <c r="I13" s="123"/>
      <c r="J13" s="123"/>
      <c r="K13" s="123"/>
      <c r="L13" s="123"/>
      <c r="M13" s="123"/>
    </row>
    <row r="14" spans="1:13" x14ac:dyDescent="0.25">
      <c r="A14" s="54"/>
      <c r="B14" s="199" t="s">
        <v>121</v>
      </c>
      <c r="C14" s="89">
        <v>1</v>
      </c>
      <c r="D14" s="63" t="s">
        <v>44</v>
      </c>
      <c r="E14" s="64">
        <v>2000</v>
      </c>
      <c r="F14" s="64">
        <f t="shared" si="0"/>
        <v>2000</v>
      </c>
      <c r="I14" s="123"/>
      <c r="J14" s="123"/>
      <c r="K14" s="123"/>
      <c r="L14" s="123"/>
      <c r="M14" s="123"/>
    </row>
    <row r="15" spans="1:13" x14ac:dyDescent="0.25">
      <c r="A15" s="54"/>
      <c r="B15" s="199"/>
      <c r="C15" s="89"/>
      <c r="D15" s="63"/>
      <c r="E15" s="64"/>
      <c r="F15" s="64" t="str">
        <f t="shared" si="0"/>
        <v/>
      </c>
      <c r="I15" s="123"/>
      <c r="J15" s="123"/>
      <c r="K15" s="123"/>
      <c r="L15" s="123"/>
      <c r="M15" s="123"/>
    </row>
    <row r="16" spans="1:13" x14ac:dyDescent="0.25">
      <c r="A16" s="54"/>
      <c r="B16" s="199" t="s">
        <v>131</v>
      </c>
      <c r="C16" s="89">
        <v>1</v>
      </c>
      <c r="D16" s="63" t="s">
        <v>44</v>
      </c>
      <c r="E16" s="64">
        <v>2000</v>
      </c>
      <c r="F16" s="64">
        <f t="shared" si="0"/>
        <v>2000</v>
      </c>
      <c r="I16" s="123"/>
      <c r="J16" s="123"/>
      <c r="K16" s="123"/>
      <c r="L16" s="123"/>
      <c r="M16" s="123"/>
    </row>
    <row r="17" spans="1:13" x14ac:dyDescent="0.25">
      <c r="A17" s="54"/>
      <c r="B17" s="199"/>
      <c r="C17" s="89"/>
      <c r="D17" s="63"/>
      <c r="E17" s="64"/>
      <c r="F17" s="64" t="str">
        <f t="shared" si="0"/>
        <v/>
      </c>
      <c r="I17" s="123"/>
      <c r="J17" s="123"/>
      <c r="K17" s="123"/>
      <c r="L17" s="123"/>
      <c r="M17" s="123"/>
    </row>
    <row r="18" spans="1:13" x14ac:dyDescent="0.25">
      <c r="A18" s="54"/>
      <c r="B18" s="199" t="s">
        <v>132</v>
      </c>
      <c r="C18" s="89">
        <v>1</v>
      </c>
      <c r="D18" s="63" t="s">
        <v>44</v>
      </c>
      <c r="E18" s="64">
        <v>5000</v>
      </c>
      <c r="F18" s="64">
        <f t="shared" si="0"/>
        <v>5000</v>
      </c>
      <c r="I18" s="123"/>
      <c r="J18" s="123"/>
      <c r="K18" s="123"/>
      <c r="L18" s="123"/>
      <c r="M18" s="123"/>
    </row>
    <row r="19" spans="1:13" x14ac:dyDescent="0.25">
      <c r="A19" s="54"/>
      <c r="B19" s="199"/>
      <c r="C19" s="89"/>
      <c r="D19" s="63"/>
      <c r="E19" s="64"/>
      <c r="F19" s="64" t="str">
        <f t="shared" si="0"/>
        <v/>
      </c>
      <c r="I19" s="123"/>
      <c r="J19" s="123"/>
      <c r="K19" s="123"/>
      <c r="L19" s="123"/>
      <c r="M19" s="123"/>
    </row>
    <row r="20" spans="1:13" x14ac:dyDescent="0.25">
      <c r="A20" s="54"/>
      <c r="B20" s="199" t="s">
        <v>133</v>
      </c>
      <c r="C20" s="89">
        <v>409</v>
      </c>
      <c r="D20" s="63" t="s">
        <v>42</v>
      </c>
      <c r="E20" s="64">
        <v>10</v>
      </c>
      <c r="F20" s="64">
        <f t="shared" si="0"/>
        <v>4090</v>
      </c>
      <c r="I20" s="123"/>
      <c r="J20" s="123"/>
      <c r="K20" s="123"/>
      <c r="L20" s="123"/>
      <c r="M20" s="123"/>
    </row>
    <row r="21" spans="1:13" x14ac:dyDescent="0.25">
      <c r="A21" s="54"/>
      <c r="B21" s="199"/>
      <c r="C21" s="89"/>
      <c r="D21" s="63"/>
      <c r="E21" s="64"/>
      <c r="F21" s="64" t="str">
        <f t="shared" si="0"/>
        <v/>
      </c>
      <c r="I21" s="123"/>
      <c r="J21" s="123"/>
      <c r="K21" s="123"/>
      <c r="L21" s="123"/>
      <c r="M21" s="123"/>
    </row>
    <row r="22" spans="1:13" x14ac:dyDescent="0.25">
      <c r="A22" s="54"/>
      <c r="B22" s="199" t="s">
        <v>134</v>
      </c>
      <c r="C22" s="89">
        <v>409</v>
      </c>
      <c r="D22" s="63" t="s">
        <v>42</v>
      </c>
      <c r="E22" s="64">
        <v>10</v>
      </c>
      <c r="F22" s="64">
        <f t="shared" si="0"/>
        <v>4090</v>
      </c>
      <c r="I22" s="123"/>
      <c r="J22" s="123"/>
      <c r="K22" s="123"/>
      <c r="L22" s="123"/>
      <c r="M22" s="123"/>
    </row>
    <row r="23" spans="1:13" x14ac:dyDescent="0.25">
      <c r="A23" s="54"/>
      <c r="B23" s="199"/>
      <c r="C23" s="89"/>
      <c r="D23" s="63"/>
      <c r="E23" s="64"/>
      <c r="F23" s="64"/>
      <c r="I23" s="123"/>
      <c r="J23" s="123"/>
      <c r="K23" s="123"/>
      <c r="L23" s="123"/>
      <c r="M23" s="123"/>
    </row>
    <row r="24" spans="1:13" ht="26.4" x14ac:dyDescent="0.25">
      <c r="A24" s="54"/>
      <c r="B24" s="200" t="s">
        <v>181</v>
      </c>
      <c r="C24" s="89">
        <v>1</v>
      </c>
      <c r="D24" s="63" t="s">
        <v>44</v>
      </c>
      <c r="E24" s="64">
        <f>3684.16+1655.19</f>
        <v>5339.35</v>
      </c>
      <c r="F24" s="64">
        <f t="shared" ref="F24" si="1">IF(C24&gt;0,C24*E24,"")</f>
        <v>5339.35</v>
      </c>
      <c r="I24" s="123"/>
      <c r="J24" s="123"/>
      <c r="K24" s="123"/>
      <c r="L24" s="123"/>
      <c r="M24" s="123"/>
    </row>
    <row r="25" spans="1:13" x14ac:dyDescent="0.25">
      <c r="A25" s="54"/>
      <c r="B25" s="199"/>
      <c r="C25" s="89"/>
      <c r="D25" s="63"/>
      <c r="E25" s="64"/>
      <c r="F25" s="64"/>
      <c r="I25" s="123"/>
      <c r="J25" s="123"/>
      <c r="K25" s="123"/>
      <c r="L25" s="123"/>
      <c r="M25" s="123"/>
    </row>
    <row r="26" spans="1:13" x14ac:dyDescent="0.25">
      <c r="A26" s="54"/>
      <c r="B26" s="200" t="s">
        <v>174</v>
      </c>
      <c r="C26" s="89">
        <v>1</v>
      </c>
      <c r="D26" s="63" t="s">
        <v>44</v>
      </c>
      <c r="E26" s="64">
        <v>15000</v>
      </c>
      <c r="F26" s="64">
        <f t="shared" si="0"/>
        <v>15000</v>
      </c>
      <c r="I26" s="123"/>
      <c r="J26" s="123"/>
      <c r="K26" s="123"/>
      <c r="L26" s="123"/>
      <c r="M26" s="123"/>
    </row>
    <row r="27" spans="1:13" x14ac:dyDescent="0.25">
      <c r="A27" s="54"/>
      <c r="B27" s="200"/>
      <c r="C27" s="89"/>
      <c r="D27" s="63"/>
      <c r="E27" s="64"/>
      <c r="F27" s="64"/>
      <c r="I27" s="123"/>
      <c r="J27" s="123"/>
      <c r="K27" s="123"/>
      <c r="L27" s="123"/>
      <c r="M27" s="123"/>
    </row>
    <row r="28" spans="1:13" ht="26.4" x14ac:dyDescent="0.25">
      <c r="A28" s="54"/>
      <c r="B28" s="200" t="s">
        <v>180</v>
      </c>
      <c r="C28" s="89">
        <v>1</v>
      </c>
      <c r="D28" s="63" t="s">
        <v>44</v>
      </c>
      <c r="E28" s="64">
        <v>15000</v>
      </c>
      <c r="F28" s="64">
        <f t="shared" ref="F28" si="2">IF(C28&gt;0,C28*E28,"")</f>
        <v>15000</v>
      </c>
      <c r="I28" s="123"/>
      <c r="J28" s="123"/>
      <c r="K28" s="123"/>
      <c r="L28" s="123"/>
      <c r="M28" s="123"/>
    </row>
    <row r="29" spans="1:13" x14ac:dyDescent="0.25">
      <c r="A29" s="54"/>
      <c r="B29" s="199"/>
      <c r="C29" s="89"/>
      <c r="D29" s="63"/>
      <c r="E29" s="64"/>
      <c r="F29" s="64" t="str">
        <f t="shared" si="0"/>
        <v/>
      </c>
      <c r="I29" s="123"/>
      <c r="J29" s="123"/>
      <c r="K29" s="123"/>
      <c r="L29" s="123"/>
      <c r="M29" s="123"/>
    </row>
    <row r="30" spans="1:13" x14ac:dyDescent="0.25">
      <c r="A30" s="54"/>
      <c r="B30" s="199" t="s">
        <v>126</v>
      </c>
      <c r="C30" s="89">
        <v>1</v>
      </c>
      <c r="D30" s="63" t="s">
        <v>44</v>
      </c>
      <c r="E30" s="64">
        <v>2000</v>
      </c>
      <c r="F30" s="64">
        <f t="shared" si="0"/>
        <v>2000</v>
      </c>
      <c r="I30" s="123"/>
      <c r="J30" s="123"/>
      <c r="K30" s="123"/>
      <c r="L30" s="123"/>
      <c r="M30" s="123"/>
    </row>
    <row r="31" spans="1:13" x14ac:dyDescent="0.25">
      <c r="A31" s="57"/>
      <c r="B31" s="97"/>
      <c r="C31" s="127"/>
      <c r="D31" s="63"/>
      <c r="E31" s="91"/>
      <c r="F31" s="64" t="str">
        <f t="shared" si="0"/>
        <v/>
      </c>
      <c r="I31" s="124"/>
      <c r="J31" s="124"/>
      <c r="K31" s="124"/>
      <c r="L31" s="124"/>
      <c r="M31" s="124"/>
    </row>
    <row r="32" spans="1:13" ht="13.8" thickBot="1" x14ac:dyDescent="0.3">
      <c r="A32" s="57"/>
      <c r="B32" s="65" t="s">
        <v>137</v>
      </c>
      <c r="C32" s="90"/>
      <c r="D32" s="63"/>
      <c r="E32" s="91"/>
      <c r="F32" s="92">
        <f>SUM(F3:F31)</f>
        <v>98779.35</v>
      </c>
      <c r="I32" s="124"/>
      <c r="J32" s="124"/>
      <c r="K32" s="124"/>
      <c r="L32" s="124"/>
      <c r="M32" s="124"/>
    </row>
    <row r="33" spans="1:14" ht="13.8" thickTop="1" x14ac:dyDescent="0.25">
      <c r="A33" s="57"/>
      <c r="B33" s="62"/>
      <c r="C33" s="127"/>
      <c r="D33" s="63"/>
      <c r="E33" s="91"/>
      <c r="F33" s="64"/>
      <c r="I33" s="124"/>
      <c r="J33" s="124"/>
      <c r="K33" s="124"/>
      <c r="L33" s="124"/>
      <c r="M33" s="124"/>
      <c r="N33" s="124"/>
    </row>
    <row r="34" spans="1:14" x14ac:dyDescent="0.25">
      <c r="A34" s="57"/>
      <c r="B34" s="62"/>
      <c r="C34" s="127"/>
      <c r="D34" s="63"/>
      <c r="E34" s="91"/>
      <c r="F34" s="64" t="str">
        <f>IF(C34&gt;0,C34*E34,"")</f>
        <v/>
      </c>
    </row>
    <row r="35" spans="1:14" x14ac:dyDescent="0.25">
      <c r="A35" s="70"/>
      <c r="B35" s="94"/>
      <c r="C35" s="95"/>
      <c r="D35" s="96"/>
      <c r="E35" s="92"/>
      <c r="F35" s="92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MJ16"/>
  <sheetViews>
    <sheetView view="pageBreakPreview" zoomScaleNormal="100" zoomScaleSheetLayoutView="100" workbookViewId="0">
      <selection activeCell="H12" sqref="H12"/>
    </sheetView>
  </sheetViews>
  <sheetFormatPr defaultColWidth="9.109375" defaultRowHeight="13.2" x14ac:dyDescent="0.25"/>
  <cols>
    <col min="1" max="1" width="7.44140625" style="77" customWidth="1"/>
    <col min="2" max="2" width="55.88671875" style="78" customWidth="1"/>
    <col min="3" max="3" width="5" style="82" bestFit="1" customWidth="1"/>
    <col min="4" max="4" width="5.44140625" style="80" customWidth="1"/>
    <col min="5" max="5" width="10.5546875" style="81" customWidth="1"/>
    <col min="6" max="7" width="11.5546875" style="82" customWidth="1"/>
    <col min="8" max="8" width="9.109375" style="82"/>
    <col min="9" max="9" width="10.5546875" style="82" customWidth="1"/>
    <col min="10" max="10" width="10.88671875" style="82" customWidth="1"/>
    <col min="11" max="13" width="10.5546875" style="82" customWidth="1"/>
    <col min="14" max="14" width="11.5546875" style="82" customWidth="1"/>
    <col min="15" max="1024" width="9.109375" style="82"/>
  </cols>
  <sheetData>
    <row r="1" spans="1:13" x14ac:dyDescent="0.25">
      <c r="A1" s="83"/>
      <c r="B1" s="84"/>
      <c r="C1" s="86" t="s">
        <v>38</v>
      </c>
      <c r="D1" s="86" t="s">
        <v>13</v>
      </c>
      <c r="E1" s="87" t="s">
        <v>39</v>
      </c>
      <c r="F1" s="86" t="s">
        <v>4</v>
      </c>
    </row>
    <row r="2" spans="1:13" x14ac:dyDescent="0.25">
      <c r="A2" s="49"/>
      <c r="B2" s="88" t="s">
        <v>149</v>
      </c>
      <c r="C2" s="89"/>
      <c r="D2" s="63"/>
      <c r="E2" s="64"/>
      <c r="F2" s="64"/>
    </row>
    <row r="3" spans="1:13" x14ac:dyDescent="0.25">
      <c r="A3" s="49"/>
      <c r="B3" s="88"/>
      <c r="C3" s="89"/>
      <c r="D3" s="63"/>
      <c r="E3" s="64"/>
      <c r="F3" s="64"/>
    </row>
    <row r="4" spans="1:13" x14ac:dyDescent="0.25">
      <c r="A4" s="49"/>
      <c r="B4" s="200" t="s">
        <v>150</v>
      </c>
      <c r="C4" s="89">
        <v>1</v>
      </c>
      <c r="D4" s="63" t="s">
        <v>44</v>
      </c>
      <c r="E4" s="64">
        <v>37500</v>
      </c>
      <c r="F4" s="64">
        <f t="shared" ref="F4:F11" si="0">IF(C4&gt;0,C4*E4,"")</f>
        <v>37500</v>
      </c>
      <c r="J4" s="124"/>
      <c r="K4" s="124"/>
      <c r="L4" s="124"/>
      <c r="M4" s="124"/>
    </row>
    <row r="5" spans="1:13" x14ac:dyDescent="0.25">
      <c r="A5" s="54"/>
      <c r="B5" s="210" t="s">
        <v>280</v>
      </c>
      <c r="C5" s="89">
        <v>1</v>
      </c>
      <c r="D5" s="63" t="s">
        <v>44</v>
      </c>
      <c r="E5" s="64">
        <v>3000</v>
      </c>
      <c r="F5" s="64">
        <f t="shared" ref="F5" si="1">IF(C5&gt;0,C5*E5,"")</f>
        <v>3000</v>
      </c>
      <c r="I5" s="123"/>
      <c r="J5" s="123"/>
      <c r="K5" s="123"/>
      <c r="L5" s="123"/>
      <c r="M5" s="123"/>
    </row>
    <row r="6" spans="1:13" x14ac:dyDescent="0.25">
      <c r="A6" s="54"/>
      <c r="B6" s="199"/>
      <c r="C6" s="89"/>
      <c r="D6" s="63"/>
      <c r="E6" s="64"/>
      <c r="F6" s="64" t="str">
        <f t="shared" si="0"/>
        <v/>
      </c>
      <c r="I6" s="123"/>
      <c r="J6" s="123"/>
      <c r="K6" s="123"/>
      <c r="L6" s="123"/>
      <c r="M6" s="123"/>
    </row>
    <row r="7" spans="1:13" x14ac:dyDescent="0.25">
      <c r="A7" s="54"/>
      <c r="B7" s="200" t="s">
        <v>151</v>
      </c>
      <c r="C7" s="89">
        <v>1</v>
      </c>
      <c r="D7" s="63" t="s">
        <v>44</v>
      </c>
      <c r="E7" s="64">
        <v>15000</v>
      </c>
      <c r="F7" s="64">
        <f t="shared" ref="F7:F8" si="2">IF(C7&gt;0,C7*E7,"")</f>
        <v>15000</v>
      </c>
      <c r="I7" s="123"/>
      <c r="J7" s="123"/>
      <c r="K7" s="123"/>
      <c r="L7" s="123"/>
      <c r="M7" s="123"/>
    </row>
    <row r="8" spans="1:13" x14ac:dyDescent="0.25">
      <c r="A8" s="54"/>
      <c r="B8" s="210" t="s">
        <v>280</v>
      </c>
      <c r="C8" s="89">
        <v>1</v>
      </c>
      <c r="D8" s="63" t="s">
        <v>44</v>
      </c>
      <c r="E8" s="64">
        <v>3000</v>
      </c>
      <c r="F8" s="64">
        <f t="shared" si="2"/>
        <v>3000</v>
      </c>
      <c r="I8" s="123"/>
      <c r="J8" s="123"/>
      <c r="K8" s="123"/>
      <c r="L8" s="123"/>
      <c r="M8" s="123"/>
    </row>
    <row r="9" spans="1:13" x14ac:dyDescent="0.25">
      <c r="A9" s="54"/>
      <c r="B9" s="62"/>
      <c r="C9" s="127"/>
      <c r="D9" s="63"/>
      <c r="E9" s="91"/>
      <c r="F9" s="64" t="str">
        <f t="shared" si="0"/>
        <v/>
      </c>
      <c r="H9" s="115"/>
      <c r="I9" s="124"/>
      <c r="J9" s="124"/>
      <c r="K9" s="124"/>
      <c r="L9" s="124"/>
      <c r="M9" s="124"/>
    </row>
    <row r="10" spans="1:13" x14ac:dyDescent="0.25">
      <c r="A10" s="54"/>
      <c r="B10" s="62" t="s">
        <v>152</v>
      </c>
      <c r="C10" s="127">
        <v>1</v>
      </c>
      <c r="D10" s="63" t="s">
        <v>44</v>
      </c>
      <c r="E10" s="91">
        <v>3000</v>
      </c>
      <c r="F10" s="64">
        <f t="shared" si="0"/>
        <v>3000</v>
      </c>
      <c r="H10" s="115"/>
      <c r="I10" s="124"/>
      <c r="J10" s="124"/>
      <c r="K10" s="124"/>
      <c r="L10" s="124"/>
      <c r="M10" s="124"/>
    </row>
    <row r="11" spans="1:13" x14ac:dyDescent="0.25">
      <c r="A11" s="57"/>
      <c r="B11" s="97"/>
      <c r="C11" s="127"/>
      <c r="D11" s="63"/>
      <c r="E11" s="91"/>
      <c r="F11" s="64" t="str">
        <f t="shared" si="0"/>
        <v/>
      </c>
      <c r="I11" s="124"/>
      <c r="J11" s="124"/>
      <c r="K11" s="124"/>
      <c r="L11" s="124"/>
      <c r="M11" s="124"/>
    </row>
    <row r="12" spans="1:13" ht="13.8" thickBot="1" x14ac:dyDescent="0.3">
      <c r="A12" s="57"/>
      <c r="B12" s="65" t="s">
        <v>137</v>
      </c>
      <c r="C12" s="90"/>
      <c r="D12" s="63"/>
      <c r="E12" s="91"/>
      <c r="F12" s="92">
        <f>SUM(F3:F11)</f>
        <v>61500</v>
      </c>
      <c r="I12" s="124"/>
      <c r="J12" s="124"/>
      <c r="K12" s="124"/>
      <c r="L12" s="124"/>
      <c r="M12" s="124"/>
    </row>
    <row r="13" spans="1:13" ht="13.8" thickTop="1" x14ac:dyDescent="0.25">
      <c r="A13" s="57"/>
      <c r="B13" s="62"/>
      <c r="C13" s="127"/>
      <c r="D13" s="63"/>
      <c r="E13" s="91"/>
      <c r="F13" s="64"/>
      <c r="I13" s="124"/>
      <c r="J13" s="124"/>
      <c r="K13" s="124"/>
      <c r="L13" s="124"/>
      <c r="M13" s="124"/>
    </row>
    <row r="14" spans="1:13" x14ac:dyDescent="0.25">
      <c r="A14" s="57"/>
      <c r="B14" s="62"/>
      <c r="C14" s="127"/>
      <c r="D14" s="63"/>
      <c r="E14" s="91"/>
      <c r="F14" s="64" t="str">
        <f>IF(C14&gt;0,C14*E14,"")</f>
        <v/>
      </c>
    </row>
    <row r="15" spans="1:13" ht="13.8" thickBot="1" x14ac:dyDescent="0.3">
      <c r="A15" s="70"/>
      <c r="B15" s="94"/>
      <c r="C15" s="95"/>
      <c r="D15" s="96"/>
      <c r="E15" s="92"/>
      <c r="F15" s="92"/>
    </row>
    <row r="16" spans="1:13" ht="13.8" thickTop="1" x14ac:dyDescent="0.25"/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F11"/>
  <sheetViews>
    <sheetView showOutlineSymbols="0" view="pageBreakPreview" zoomScaleNormal="100" zoomScaleSheetLayoutView="100" workbookViewId="0">
      <selection activeCell="E5" sqref="E5"/>
    </sheetView>
  </sheetViews>
  <sheetFormatPr defaultColWidth="8.88671875" defaultRowHeight="13.2" x14ac:dyDescent="0.25"/>
  <cols>
    <col min="1" max="1" width="7.44140625" style="38" customWidth="1"/>
    <col min="2" max="2" width="53.88671875" style="98" customWidth="1"/>
    <col min="3" max="3" width="7.5546875" customWidth="1"/>
    <col min="4" max="4" width="5.44140625" style="100" customWidth="1"/>
    <col min="5" max="5" width="10.109375" style="101" customWidth="1"/>
    <col min="6" max="6" width="11.5546875" customWidth="1"/>
  </cols>
  <sheetData>
    <row r="1" spans="1:6" x14ac:dyDescent="0.25">
      <c r="A1" s="44"/>
      <c r="B1" s="102"/>
      <c r="C1" s="86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65</v>
      </c>
      <c r="C2" s="103"/>
      <c r="D2" s="104"/>
      <c r="E2" s="105"/>
      <c r="F2" s="105"/>
    </row>
    <row r="3" spans="1:6" x14ac:dyDescent="0.25">
      <c r="A3" s="74"/>
      <c r="B3" s="106"/>
      <c r="C3" s="103"/>
      <c r="D3" s="104"/>
      <c r="E3" s="105"/>
      <c r="F3" s="105"/>
    </row>
    <row r="4" spans="1:6" x14ac:dyDescent="0.25">
      <c r="A4" s="74"/>
      <c r="B4" s="106"/>
      <c r="C4" s="103"/>
      <c r="D4" s="104"/>
      <c r="E4" s="105"/>
      <c r="F4" s="105"/>
    </row>
    <row r="5" spans="1:6" x14ac:dyDescent="0.25">
      <c r="A5" s="57" t="s">
        <v>78</v>
      </c>
      <c r="B5" s="62" t="s">
        <v>183</v>
      </c>
      <c r="C5" s="131">
        <v>6.5000000000000002E-2</v>
      </c>
      <c r="D5" s="63" t="s">
        <v>66</v>
      </c>
      <c r="E5" s="91">
        <f>SUM(mech!F27)+elec!F32+Lifts!F12</f>
        <v>253524.35</v>
      </c>
      <c r="F5" s="64">
        <f>IF(C5&gt;0,C5*E5,"")</f>
        <v>16479.082750000001</v>
      </c>
    </row>
    <row r="6" spans="1:6" x14ac:dyDescent="0.25">
      <c r="A6" s="57"/>
      <c r="B6" s="62"/>
      <c r="C6" s="131"/>
      <c r="D6" s="63"/>
      <c r="E6" s="91"/>
      <c r="F6" s="64" t="str">
        <f>IF(C6&gt;0,C6*E6,"")</f>
        <v/>
      </c>
    </row>
    <row r="7" spans="1:6" x14ac:dyDescent="0.25">
      <c r="A7" s="52"/>
      <c r="B7" s="106"/>
      <c r="C7" s="130"/>
      <c r="D7" s="104"/>
      <c r="E7" s="108"/>
      <c r="F7" s="105"/>
    </row>
    <row r="8" spans="1:6" ht="13.8" thickBot="1" x14ac:dyDescent="0.3">
      <c r="A8" s="52"/>
      <c r="B8" s="65" t="s">
        <v>137</v>
      </c>
      <c r="C8" s="90"/>
      <c r="D8" s="63"/>
      <c r="E8" s="91"/>
      <c r="F8" s="92">
        <f>SUM(F5:F6)</f>
        <v>16479.082750000001</v>
      </c>
    </row>
    <row r="9" spans="1:6" ht="13.8" thickTop="1" x14ac:dyDescent="0.25">
      <c r="A9" s="52"/>
      <c r="B9" s="65"/>
      <c r="C9" s="90"/>
      <c r="D9" s="63"/>
      <c r="E9" s="91"/>
      <c r="F9" s="119"/>
    </row>
    <row r="10" spans="1:6" x14ac:dyDescent="0.25">
      <c r="A10" s="52"/>
      <c r="B10" s="106"/>
      <c r="C10" s="130"/>
      <c r="D10" s="104"/>
      <c r="E10" s="108"/>
      <c r="F10" s="105" t="str">
        <f t="shared" ref="F10" si="0">IF(C10&gt;0,C10*E10,"")</f>
        <v/>
      </c>
    </row>
    <row r="11" spans="1:6" x14ac:dyDescent="0.25">
      <c r="A11" s="70"/>
      <c r="B11" s="94"/>
      <c r="C11" s="95"/>
      <c r="D11" s="96"/>
      <c r="E11" s="92"/>
      <c r="F11" s="92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AMJ10"/>
  <sheetViews>
    <sheetView view="pageBreakPreview" zoomScaleNormal="100" zoomScaleSheetLayoutView="100" workbookViewId="0">
      <selection activeCell="E4" sqref="E4"/>
    </sheetView>
  </sheetViews>
  <sheetFormatPr defaultColWidth="9.109375" defaultRowHeight="13.2" x14ac:dyDescent="0.25"/>
  <cols>
    <col min="1" max="1" width="7" style="77" customWidth="1"/>
    <col min="2" max="2" width="55.88671875" style="78" customWidth="1"/>
    <col min="3" max="3" width="5" style="82" bestFit="1" customWidth="1"/>
    <col min="4" max="4" width="5.44140625" style="80" customWidth="1"/>
    <col min="5" max="5" width="10.109375" style="81" customWidth="1"/>
    <col min="6" max="7" width="11.5546875" style="82" customWidth="1"/>
    <col min="8" max="9" width="9.109375" style="82"/>
    <col min="10" max="10" width="10.5546875" style="124" customWidth="1"/>
    <col min="11" max="11" width="13.109375" style="124" customWidth="1"/>
    <col min="12" max="15" width="10.5546875" style="124" customWidth="1"/>
    <col min="16" max="16" width="11.5546875" style="124" customWidth="1"/>
    <col min="17" max="19" width="9.109375" style="124"/>
    <col min="20" max="1024" width="9.109375" style="82"/>
  </cols>
  <sheetData>
    <row r="1" spans="1:16" x14ac:dyDescent="0.25">
      <c r="A1" s="83"/>
      <c r="B1" s="84"/>
      <c r="C1" s="86" t="s">
        <v>38</v>
      </c>
      <c r="D1" s="86" t="s">
        <v>13</v>
      </c>
      <c r="E1" s="87" t="s">
        <v>39</v>
      </c>
      <c r="F1" s="86" t="s">
        <v>4</v>
      </c>
    </row>
    <row r="2" spans="1:16" x14ac:dyDescent="0.25">
      <c r="A2" s="49"/>
      <c r="B2" s="88" t="s">
        <v>95</v>
      </c>
      <c r="C2" s="89"/>
      <c r="D2" s="63"/>
      <c r="E2" s="64"/>
      <c r="F2" s="64" t="str">
        <f t="shared" ref="F2:F5" si="0">IF(C2&gt;0,C2*E2,"")</f>
        <v/>
      </c>
    </row>
    <row r="3" spans="1:16" x14ac:dyDescent="0.25">
      <c r="A3" s="49"/>
      <c r="B3" s="88"/>
      <c r="C3" s="89"/>
      <c r="D3" s="63"/>
      <c r="E3" s="64"/>
      <c r="F3" s="64" t="str">
        <f t="shared" si="0"/>
        <v/>
      </c>
    </row>
    <row r="4" spans="1:16" x14ac:dyDescent="0.25">
      <c r="A4" s="49"/>
      <c r="B4" s="189" t="s">
        <v>96</v>
      </c>
      <c r="C4" s="89">
        <v>1</v>
      </c>
      <c r="D4" s="63" t="s">
        <v>69</v>
      </c>
      <c r="E4" s="64">
        <v>5000</v>
      </c>
      <c r="F4" s="64">
        <f t="shared" si="0"/>
        <v>5000</v>
      </c>
      <c r="J4" s="123"/>
      <c r="K4" s="123"/>
      <c r="L4" s="123"/>
      <c r="M4" s="123"/>
      <c r="N4" s="123"/>
      <c r="O4" s="123"/>
    </row>
    <row r="5" spans="1:16" x14ac:dyDescent="0.25">
      <c r="A5" s="49"/>
      <c r="B5" s="59"/>
      <c r="C5" s="89"/>
      <c r="D5" s="63"/>
      <c r="E5" s="64"/>
      <c r="F5" s="64" t="str">
        <f t="shared" si="0"/>
        <v/>
      </c>
      <c r="I5"/>
      <c r="J5" s="101"/>
      <c r="K5" s="101"/>
      <c r="L5"/>
      <c r="M5"/>
      <c r="N5"/>
      <c r="O5"/>
      <c r="P5" s="101"/>
    </row>
    <row r="6" spans="1:16" x14ac:dyDescent="0.25">
      <c r="A6" s="54"/>
      <c r="B6" s="62"/>
      <c r="C6" s="127"/>
      <c r="D6" s="63"/>
      <c r="E6" s="91"/>
      <c r="F6" s="64"/>
      <c r="I6"/>
    </row>
    <row r="7" spans="1:16" ht="13.8" thickBot="1" x14ac:dyDescent="0.3">
      <c r="A7" s="57"/>
      <c r="B7" s="65" t="s">
        <v>74</v>
      </c>
      <c r="C7" s="90"/>
      <c r="D7" s="63"/>
      <c r="E7" s="91"/>
      <c r="F7" s="92">
        <f>SUM(F4:F6)</f>
        <v>5000</v>
      </c>
      <c r="I7"/>
    </row>
    <row r="8" spans="1:16" ht="13.8" thickTop="1" x14ac:dyDescent="0.25">
      <c r="A8" s="57"/>
      <c r="B8" s="65"/>
      <c r="C8" s="90"/>
      <c r="D8" s="63"/>
      <c r="E8" s="91"/>
      <c r="F8" s="119"/>
      <c r="I8"/>
    </row>
    <row r="9" spans="1:16" x14ac:dyDescent="0.25">
      <c r="A9" s="57"/>
      <c r="B9" s="62"/>
      <c r="C9" s="127"/>
      <c r="D9" s="63"/>
      <c r="E9" s="91"/>
      <c r="F9" s="64" t="str">
        <f>IF(C9&gt;0,C9*E9,"")</f>
        <v/>
      </c>
    </row>
    <row r="10" spans="1:16" ht="13.8" thickBot="1" x14ac:dyDescent="0.3">
      <c r="A10" s="70"/>
      <c r="B10" s="94"/>
      <c r="C10" s="95"/>
      <c r="D10" s="96"/>
      <c r="E10" s="92"/>
      <c r="F10" s="92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ME52"/>
  <sheetViews>
    <sheetView showOutlineSymbols="0" view="pageBreakPreview" zoomScaleNormal="100" zoomScaleSheetLayoutView="100" workbookViewId="0">
      <selection activeCell="H17" sqref="H17"/>
    </sheetView>
  </sheetViews>
  <sheetFormatPr defaultColWidth="8.88671875" defaultRowHeight="13.2" x14ac:dyDescent="0.25"/>
  <cols>
    <col min="1" max="1" width="7.109375" style="38" customWidth="1"/>
    <col min="2" max="2" width="55.88671875" style="39" customWidth="1"/>
    <col min="3" max="3" width="5.109375" style="42" bestFit="1" customWidth="1"/>
    <col min="4" max="4" width="5.44140625" style="38" customWidth="1"/>
    <col min="5" max="5" width="10.109375" style="41" customWidth="1"/>
    <col min="6" max="6" width="11.5546875" style="42" customWidth="1"/>
    <col min="7" max="7" width="10.109375" style="42" customWidth="1"/>
    <col min="8" max="8" width="8.88671875" style="42"/>
    <col min="9" max="9" width="67.88671875" style="42" customWidth="1"/>
    <col min="10" max="12" width="8.88671875" style="42"/>
    <col min="13" max="13" width="11.88671875" style="42" customWidth="1"/>
    <col min="14" max="16384" width="8.88671875" style="42"/>
  </cols>
  <sheetData>
    <row r="1" spans="1:1019" x14ac:dyDescent="0.25">
      <c r="A1" s="44"/>
      <c r="B1" s="45"/>
      <c r="C1" s="47" t="s">
        <v>38</v>
      </c>
      <c r="D1" s="47" t="s">
        <v>13</v>
      </c>
      <c r="E1" s="48" t="s">
        <v>39</v>
      </c>
      <c r="F1" s="47" t="s">
        <v>4</v>
      </c>
    </row>
    <row r="2" spans="1:1019" x14ac:dyDescent="0.25">
      <c r="A2" s="49"/>
      <c r="B2" s="50" t="s">
        <v>76</v>
      </c>
      <c r="C2" s="51"/>
      <c r="D2" s="52"/>
      <c r="E2" s="53"/>
      <c r="F2" s="53"/>
    </row>
    <row r="3" spans="1:1019" x14ac:dyDescent="0.25">
      <c r="A3" s="49"/>
      <c r="B3" s="50"/>
      <c r="C3" s="51"/>
      <c r="D3" s="52"/>
      <c r="E3" s="53"/>
      <c r="F3" s="53"/>
    </row>
    <row r="4" spans="1:1019" customFormat="1" x14ac:dyDescent="0.25">
      <c r="A4" s="57"/>
      <c r="B4" s="132" t="s">
        <v>153</v>
      </c>
      <c r="C4" s="128"/>
      <c r="D4" s="52"/>
      <c r="E4" s="76"/>
      <c r="F4" s="5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</row>
    <row r="5" spans="1:1019" customFormat="1" x14ac:dyDescent="0.25">
      <c r="A5" s="57"/>
      <c r="B5" s="132"/>
      <c r="C5" s="128"/>
      <c r="D5" s="52"/>
      <c r="E5" s="76"/>
      <c r="F5" s="5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</row>
    <row r="6" spans="1:1019" customFormat="1" x14ac:dyDescent="0.25">
      <c r="A6" s="57"/>
      <c r="B6" s="55" t="s">
        <v>144</v>
      </c>
      <c r="C6" s="128">
        <f>200.36+1*18</f>
        <v>218.36</v>
      </c>
      <c r="D6" s="145" t="s">
        <v>42</v>
      </c>
      <c r="E6" s="76">
        <v>17.5</v>
      </c>
      <c r="F6" s="53">
        <f>IF(C6&gt;0,C6*E6,"")</f>
        <v>3821.3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</row>
    <row r="7" spans="1:1019" customFormat="1" x14ac:dyDescent="0.25">
      <c r="A7" s="57"/>
      <c r="B7" s="55"/>
      <c r="C7" s="128"/>
      <c r="D7" s="145"/>
      <c r="E7" s="76"/>
      <c r="F7" s="5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</row>
    <row r="8" spans="1:1019" customFormat="1" ht="26.4" x14ac:dyDescent="0.25">
      <c r="A8" s="57"/>
      <c r="B8" s="55" t="s">
        <v>347</v>
      </c>
      <c r="C8" s="128">
        <f>(200.36+1*18)*0.25</f>
        <v>54.59</v>
      </c>
      <c r="D8" s="145" t="s">
        <v>42</v>
      </c>
      <c r="E8" s="76">
        <v>50</v>
      </c>
      <c r="F8" s="53">
        <f>IF(C8&gt;0,C8*E8,"")</f>
        <v>2729.5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</row>
    <row r="9" spans="1:1019" customFormat="1" x14ac:dyDescent="0.25">
      <c r="A9" s="57"/>
      <c r="B9" s="55"/>
      <c r="C9" s="128"/>
      <c r="D9" s="145"/>
      <c r="E9" s="76"/>
      <c r="F9" s="5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</row>
    <row r="10" spans="1:1019" customFormat="1" x14ac:dyDescent="0.25">
      <c r="A10" s="57"/>
      <c r="B10" s="55" t="s">
        <v>146</v>
      </c>
      <c r="C10" s="128">
        <f>200.36+1*18</f>
        <v>218.36</v>
      </c>
      <c r="D10" s="145" t="s">
        <v>42</v>
      </c>
      <c r="E10" s="76">
        <v>20</v>
      </c>
      <c r="F10" s="53">
        <f>IF(C10&gt;0,C10*E10,"")</f>
        <v>4367.2000000000007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</row>
    <row r="11" spans="1:1019" customFormat="1" x14ac:dyDescent="0.25">
      <c r="A11" s="57"/>
      <c r="B11" s="55"/>
      <c r="C11" s="128"/>
      <c r="D11" s="145"/>
      <c r="E11" s="76"/>
      <c r="F11" s="5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</row>
    <row r="12" spans="1:1019" x14ac:dyDescent="0.25">
      <c r="A12" s="49"/>
      <c r="B12" s="209" t="s">
        <v>136</v>
      </c>
      <c r="C12" s="128">
        <f>200.36+1*18</f>
        <v>218.36</v>
      </c>
      <c r="D12" s="145" t="s">
        <v>42</v>
      </c>
      <c r="E12" s="76">
        <v>5</v>
      </c>
      <c r="F12" s="53">
        <f>IF(C12&gt;0,C12*E12,"")</f>
        <v>1091.8000000000002</v>
      </c>
    </row>
    <row r="13" spans="1:1019" customFormat="1" x14ac:dyDescent="0.25">
      <c r="A13" s="57"/>
      <c r="B13" s="55"/>
      <c r="C13" s="128"/>
      <c r="D13" s="145"/>
      <c r="E13" s="76"/>
      <c r="F13" s="5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</row>
    <row r="14" spans="1:1019" customFormat="1" x14ac:dyDescent="0.25">
      <c r="A14" s="57"/>
      <c r="B14" s="55" t="s">
        <v>346</v>
      </c>
      <c r="C14" s="128">
        <f>200.36+1*18</f>
        <v>218.36</v>
      </c>
      <c r="D14" s="145" t="s">
        <v>42</v>
      </c>
      <c r="E14" s="76">
        <v>85</v>
      </c>
      <c r="F14" s="53">
        <f>IF(C14&gt;0,C14*E14,"")</f>
        <v>18560.600000000002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</row>
    <row r="15" spans="1:1019" customFormat="1" x14ac:dyDescent="0.25">
      <c r="A15" s="57"/>
      <c r="B15" s="55"/>
      <c r="C15" s="128"/>
      <c r="D15" s="145"/>
      <c r="E15" s="76"/>
      <c r="F15" s="5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</row>
    <row r="16" spans="1:1019" customFormat="1" x14ac:dyDescent="0.25">
      <c r="A16" s="57"/>
      <c r="B16" s="55" t="s">
        <v>147</v>
      </c>
      <c r="C16" s="128">
        <v>4</v>
      </c>
      <c r="D16" s="145" t="s">
        <v>69</v>
      </c>
      <c r="E16" s="76">
        <v>75</v>
      </c>
      <c r="F16" s="53">
        <f>IF(C16&gt;0,C16*E16,"")</f>
        <v>300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</row>
    <row r="17" spans="1:1019" customFormat="1" x14ac:dyDescent="0.25">
      <c r="A17" s="57"/>
      <c r="B17" s="55"/>
      <c r="C17" s="128"/>
      <c r="D17" s="145"/>
      <c r="E17" s="76"/>
      <c r="F17" s="5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</row>
    <row r="18" spans="1:1019" customFormat="1" x14ac:dyDescent="0.25">
      <c r="A18" s="57"/>
      <c r="B18" s="55" t="s">
        <v>148</v>
      </c>
      <c r="C18" s="128">
        <f>200.36+1*18</f>
        <v>218.36</v>
      </c>
      <c r="D18" s="145" t="s">
        <v>42</v>
      </c>
      <c r="E18" s="76">
        <v>15</v>
      </c>
      <c r="F18" s="53">
        <f>IF(C18&gt;0,C18*E18,"")</f>
        <v>3275.4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</row>
    <row r="19" spans="1:1019" customFormat="1" x14ac:dyDescent="0.25">
      <c r="A19" s="57"/>
      <c r="B19" s="55"/>
      <c r="C19" s="128"/>
      <c r="D19" s="145"/>
      <c r="E19" s="76"/>
      <c r="F19" s="53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</row>
    <row r="20" spans="1:1019" customFormat="1" x14ac:dyDescent="0.25">
      <c r="A20" s="57"/>
      <c r="B20" s="55" t="s">
        <v>154</v>
      </c>
      <c r="C20" s="128">
        <v>1</v>
      </c>
      <c r="D20" s="145" t="s">
        <v>69</v>
      </c>
      <c r="E20" s="76">
        <v>150</v>
      </c>
      <c r="F20" s="53">
        <f>IF(C20&gt;0,C20*E20,"")</f>
        <v>150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</row>
    <row r="21" spans="1:1019" customFormat="1" x14ac:dyDescent="0.25">
      <c r="A21" s="57"/>
      <c r="B21" s="55"/>
      <c r="C21" s="128"/>
      <c r="D21" s="145"/>
      <c r="E21" s="76"/>
      <c r="F21" s="5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</row>
    <row r="22" spans="1:1019" customFormat="1" ht="26.4" x14ac:dyDescent="0.25">
      <c r="A22" s="57"/>
      <c r="B22" s="55" t="s">
        <v>145</v>
      </c>
      <c r="C22" s="128">
        <f>5*3.5*1.5</f>
        <v>26.25</v>
      </c>
      <c r="D22" s="145" t="s">
        <v>43</v>
      </c>
      <c r="E22" s="76">
        <v>60</v>
      </c>
      <c r="F22" s="53">
        <f>IF(C22&gt;0,C22*E22,"")</f>
        <v>1575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</row>
    <row r="23" spans="1:1019" customFormat="1" x14ac:dyDescent="0.25">
      <c r="A23" s="57"/>
      <c r="B23" s="55"/>
      <c r="C23" s="128"/>
      <c r="D23" s="145"/>
      <c r="E23" s="76"/>
      <c r="F23" s="53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</row>
    <row r="24" spans="1:1019" customFormat="1" ht="26.4" x14ac:dyDescent="0.25">
      <c r="A24" s="57"/>
      <c r="B24" s="55" t="s">
        <v>155</v>
      </c>
      <c r="C24" s="128">
        <f>18</f>
        <v>18</v>
      </c>
      <c r="D24" s="145" t="s">
        <v>41</v>
      </c>
      <c r="E24" s="76">
        <f>125+50+150</f>
        <v>325</v>
      </c>
      <c r="F24" s="53">
        <f>IF(C24&gt;0,C24*E24,"")</f>
        <v>5850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</row>
    <row r="25" spans="1:1019" customFormat="1" x14ac:dyDescent="0.25">
      <c r="A25" s="57"/>
      <c r="B25" s="55"/>
      <c r="C25" s="128"/>
      <c r="D25" s="145"/>
      <c r="E25" s="76"/>
      <c r="F25" s="53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</row>
    <row r="26" spans="1:1019" customFormat="1" ht="26.4" x14ac:dyDescent="0.25">
      <c r="A26" s="57"/>
      <c r="B26" s="55" t="s">
        <v>179</v>
      </c>
      <c r="C26" s="128">
        <v>1</v>
      </c>
      <c r="D26" s="145" t="s">
        <v>44</v>
      </c>
      <c r="E26" s="76">
        <v>1500</v>
      </c>
      <c r="F26" s="53">
        <f>IF(C26&gt;0,C26*E26,"")</f>
        <v>1500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</row>
    <row r="27" spans="1:1019" customFormat="1" x14ac:dyDescent="0.25">
      <c r="A27" s="57"/>
      <c r="B27" s="55"/>
      <c r="C27" s="128"/>
      <c r="D27" s="145"/>
      <c r="E27" s="76"/>
      <c r="F27" s="5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</row>
    <row r="28" spans="1:1019" customFormat="1" ht="26.4" x14ac:dyDescent="0.25">
      <c r="A28" s="57"/>
      <c r="B28" s="55" t="s">
        <v>178</v>
      </c>
      <c r="C28" s="128">
        <v>1</v>
      </c>
      <c r="D28" s="145" t="s">
        <v>44</v>
      </c>
      <c r="E28" s="76">
        <v>4000</v>
      </c>
      <c r="F28" s="53">
        <f>IF(C28&gt;0,C28*E28,"")</f>
        <v>4000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</row>
    <row r="29" spans="1:1019" customFormat="1" x14ac:dyDescent="0.25">
      <c r="A29" s="57"/>
      <c r="B29" s="55"/>
      <c r="C29" s="128"/>
      <c r="D29" s="145"/>
      <c r="E29" s="76"/>
      <c r="F29" s="5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2"/>
      <c r="OX29" s="42"/>
      <c r="OY29" s="42"/>
      <c r="OZ29" s="42"/>
      <c r="PA29" s="42"/>
      <c r="PB29" s="42"/>
      <c r="PC29" s="42"/>
      <c r="PD29" s="42"/>
      <c r="PE29" s="42"/>
      <c r="PF29" s="42"/>
      <c r="PG29" s="42"/>
      <c r="PH29" s="42"/>
      <c r="PI29" s="42"/>
      <c r="PJ29" s="42"/>
      <c r="PK29" s="42"/>
      <c r="PL29" s="42"/>
      <c r="PM29" s="42"/>
      <c r="PN29" s="42"/>
      <c r="PO29" s="42"/>
      <c r="PP29" s="42"/>
      <c r="PQ29" s="42"/>
      <c r="PR29" s="42"/>
      <c r="PS29" s="42"/>
      <c r="PT29" s="42"/>
      <c r="PU29" s="42"/>
      <c r="PV29" s="42"/>
      <c r="PW29" s="42"/>
      <c r="PX29" s="42"/>
      <c r="PY29" s="42"/>
      <c r="PZ29" s="42"/>
      <c r="QA29" s="42"/>
      <c r="QB29" s="42"/>
      <c r="QC29" s="42"/>
      <c r="QD29" s="42"/>
      <c r="QE29" s="42"/>
      <c r="QF29" s="42"/>
      <c r="QG29" s="42"/>
      <c r="QH29" s="42"/>
      <c r="QI29" s="42"/>
      <c r="QJ29" s="42"/>
      <c r="QK29" s="42"/>
      <c r="QL29" s="42"/>
      <c r="QM29" s="42"/>
      <c r="QN29" s="42"/>
      <c r="QO29" s="42"/>
      <c r="QP29" s="42"/>
      <c r="QQ29" s="42"/>
      <c r="QR29" s="42"/>
      <c r="QS29" s="42"/>
      <c r="QT29" s="42"/>
      <c r="QU29" s="42"/>
      <c r="QV29" s="42"/>
      <c r="QW29" s="42"/>
      <c r="QX29" s="42"/>
      <c r="QY29" s="42"/>
      <c r="QZ29" s="42"/>
      <c r="RA29" s="42"/>
      <c r="RB29" s="42"/>
      <c r="RC29" s="42"/>
      <c r="RD29" s="42"/>
      <c r="RE29" s="42"/>
      <c r="RF29" s="42"/>
      <c r="RG29" s="42"/>
      <c r="RH29" s="42"/>
      <c r="RI29" s="42"/>
      <c r="RJ29" s="42"/>
      <c r="RK29" s="42"/>
      <c r="RL29" s="42"/>
      <c r="RM29" s="42"/>
      <c r="RN29" s="42"/>
      <c r="RO29" s="42"/>
      <c r="RP29" s="42"/>
      <c r="RQ29" s="42"/>
      <c r="RR29" s="42"/>
      <c r="RS29" s="42"/>
      <c r="RT29" s="42"/>
      <c r="RU29" s="42"/>
      <c r="RV29" s="42"/>
      <c r="RW29" s="42"/>
      <c r="RX29" s="42"/>
      <c r="RY29" s="42"/>
      <c r="RZ29" s="42"/>
      <c r="SA29" s="42"/>
      <c r="SB29" s="42"/>
      <c r="SC29" s="42"/>
      <c r="SD29" s="42"/>
      <c r="SE29" s="42"/>
      <c r="SF29" s="42"/>
      <c r="SG29" s="42"/>
      <c r="SH29" s="42"/>
      <c r="SI29" s="42"/>
      <c r="SJ29" s="42"/>
      <c r="SK29" s="42"/>
      <c r="SL29" s="42"/>
      <c r="SM29" s="42"/>
      <c r="SN29" s="42"/>
      <c r="SO29" s="42"/>
      <c r="SP29" s="42"/>
      <c r="SQ29" s="42"/>
      <c r="SR29" s="42"/>
      <c r="SS29" s="42"/>
      <c r="ST29" s="42"/>
      <c r="SU29" s="42"/>
      <c r="SV29" s="42"/>
      <c r="SW29" s="42"/>
      <c r="SX29" s="42"/>
      <c r="SY29" s="42"/>
      <c r="SZ29" s="42"/>
      <c r="TA29" s="42"/>
      <c r="TB29" s="42"/>
      <c r="TC29" s="42"/>
      <c r="TD29" s="42"/>
      <c r="TE29" s="42"/>
      <c r="TF29" s="42"/>
      <c r="TG29" s="42"/>
      <c r="TH29" s="42"/>
      <c r="TI29" s="42"/>
      <c r="TJ29" s="42"/>
      <c r="TK29" s="42"/>
      <c r="TL29" s="42"/>
      <c r="TM29" s="42"/>
      <c r="TN29" s="42"/>
      <c r="TO29" s="42"/>
      <c r="TP29" s="42"/>
      <c r="TQ29" s="42"/>
      <c r="TR29" s="42"/>
      <c r="TS29" s="42"/>
      <c r="TT29" s="42"/>
      <c r="TU29" s="42"/>
      <c r="TV29" s="42"/>
      <c r="TW29" s="42"/>
      <c r="TX29" s="42"/>
      <c r="TY29" s="42"/>
      <c r="TZ29" s="42"/>
      <c r="UA29" s="42"/>
      <c r="UB29" s="42"/>
      <c r="UC29" s="42"/>
      <c r="UD29" s="42"/>
      <c r="UE29" s="42"/>
      <c r="UF29" s="42"/>
      <c r="UG29" s="42"/>
      <c r="UH29" s="42"/>
      <c r="UI29" s="42"/>
      <c r="UJ29" s="42"/>
      <c r="UK29" s="42"/>
      <c r="UL29" s="42"/>
      <c r="UM29" s="42"/>
      <c r="UN29" s="42"/>
      <c r="UO29" s="42"/>
      <c r="UP29" s="42"/>
      <c r="UQ29" s="42"/>
      <c r="UR29" s="42"/>
      <c r="US29" s="42"/>
      <c r="UT29" s="42"/>
      <c r="UU29" s="42"/>
      <c r="UV29" s="42"/>
      <c r="UW29" s="42"/>
      <c r="UX29" s="42"/>
      <c r="UY29" s="42"/>
      <c r="UZ29" s="42"/>
      <c r="VA29" s="42"/>
      <c r="VB29" s="42"/>
      <c r="VC29" s="42"/>
      <c r="VD29" s="42"/>
      <c r="VE29" s="42"/>
      <c r="VF29" s="42"/>
      <c r="VG29" s="42"/>
      <c r="VH29" s="42"/>
      <c r="VI29" s="42"/>
      <c r="VJ29" s="42"/>
      <c r="VK29" s="42"/>
      <c r="VL29" s="42"/>
      <c r="VM29" s="42"/>
      <c r="VN29" s="42"/>
      <c r="VO29" s="42"/>
      <c r="VP29" s="42"/>
      <c r="VQ29" s="42"/>
      <c r="VR29" s="42"/>
      <c r="VS29" s="42"/>
      <c r="VT29" s="42"/>
      <c r="VU29" s="42"/>
      <c r="VV29" s="42"/>
      <c r="VW29" s="42"/>
      <c r="VX29" s="42"/>
      <c r="VY29" s="42"/>
      <c r="VZ29" s="42"/>
      <c r="WA29" s="42"/>
      <c r="WB29" s="42"/>
      <c r="WC29" s="42"/>
      <c r="WD29" s="42"/>
      <c r="WE29" s="42"/>
      <c r="WF29" s="42"/>
      <c r="WG29" s="42"/>
      <c r="WH29" s="42"/>
      <c r="WI29" s="42"/>
      <c r="WJ29" s="42"/>
      <c r="WK29" s="42"/>
      <c r="WL29" s="42"/>
      <c r="WM29" s="42"/>
      <c r="WN29" s="42"/>
      <c r="WO29" s="42"/>
      <c r="WP29" s="42"/>
      <c r="WQ29" s="42"/>
      <c r="WR29" s="42"/>
      <c r="WS29" s="42"/>
      <c r="WT29" s="42"/>
      <c r="WU29" s="42"/>
      <c r="WV29" s="42"/>
      <c r="WW29" s="42"/>
      <c r="WX29" s="42"/>
      <c r="WY29" s="42"/>
      <c r="WZ29" s="42"/>
      <c r="XA29" s="42"/>
      <c r="XB29" s="42"/>
      <c r="XC29" s="42"/>
      <c r="XD29" s="42"/>
      <c r="XE29" s="42"/>
      <c r="XF29" s="42"/>
      <c r="XG29" s="42"/>
      <c r="XH29" s="42"/>
      <c r="XI29" s="42"/>
      <c r="XJ29" s="42"/>
      <c r="XK29" s="42"/>
      <c r="XL29" s="42"/>
      <c r="XM29" s="42"/>
      <c r="XN29" s="42"/>
      <c r="XO29" s="42"/>
      <c r="XP29" s="42"/>
      <c r="XQ29" s="42"/>
      <c r="XR29" s="42"/>
      <c r="XS29" s="42"/>
      <c r="XT29" s="42"/>
      <c r="XU29" s="42"/>
      <c r="XV29" s="42"/>
      <c r="XW29" s="42"/>
      <c r="XX29" s="42"/>
      <c r="XY29" s="42"/>
      <c r="XZ29" s="42"/>
      <c r="YA29" s="42"/>
      <c r="YB29" s="42"/>
      <c r="YC29" s="42"/>
      <c r="YD29" s="42"/>
      <c r="YE29" s="42"/>
      <c r="YF29" s="42"/>
      <c r="YG29" s="42"/>
      <c r="YH29" s="42"/>
      <c r="YI29" s="42"/>
      <c r="YJ29" s="42"/>
      <c r="YK29" s="42"/>
      <c r="YL29" s="42"/>
      <c r="YM29" s="42"/>
      <c r="YN29" s="42"/>
      <c r="YO29" s="42"/>
      <c r="YP29" s="42"/>
      <c r="YQ29" s="42"/>
      <c r="YR29" s="42"/>
      <c r="YS29" s="42"/>
      <c r="YT29" s="42"/>
      <c r="YU29" s="42"/>
      <c r="YV29" s="42"/>
      <c r="YW29" s="42"/>
      <c r="YX29" s="42"/>
      <c r="YY29" s="42"/>
      <c r="YZ29" s="42"/>
      <c r="ZA29" s="42"/>
      <c r="ZB29" s="42"/>
      <c r="ZC29" s="42"/>
      <c r="ZD29" s="42"/>
      <c r="ZE29" s="42"/>
      <c r="ZF29" s="42"/>
      <c r="ZG29" s="42"/>
      <c r="ZH29" s="42"/>
      <c r="ZI29" s="42"/>
      <c r="ZJ29" s="42"/>
      <c r="ZK29" s="42"/>
      <c r="ZL29" s="42"/>
      <c r="ZM29" s="42"/>
      <c r="ZN29" s="42"/>
      <c r="ZO29" s="42"/>
      <c r="ZP29" s="42"/>
      <c r="ZQ29" s="42"/>
      <c r="ZR29" s="42"/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/>
      <c r="AAH29" s="42"/>
      <c r="AAI29" s="42"/>
      <c r="AAJ29" s="42"/>
      <c r="AAK29" s="42"/>
      <c r="AAL29" s="42"/>
      <c r="AAM29" s="42"/>
      <c r="AAN29" s="42"/>
      <c r="AAO29" s="42"/>
      <c r="AAP29" s="42"/>
      <c r="AAQ29" s="42"/>
      <c r="AAR29" s="42"/>
      <c r="AAS29" s="42"/>
      <c r="AAT29" s="42"/>
      <c r="AAU29" s="42"/>
      <c r="AAV29" s="42"/>
      <c r="AAW29" s="42"/>
      <c r="AAX29" s="42"/>
      <c r="AAY29" s="42"/>
      <c r="AAZ29" s="42"/>
      <c r="ABA29" s="42"/>
      <c r="ABB29" s="42"/>
      <c r="ABC29" s="42"/>
      <c r="ABD29" s="42"/>
      <c r="ABE29" s="42"/>
      <c r="ABF29" s="42"/>
      <c r="ABG29" s="42"/>
      <c r="ABH29" s="42"/>
      <c r="ABI29" s="42"/>
      <c r="ABJ29" s="42"/>
      <c r="ABK29" s="42"/>
      <c r="ABL29" s="42"/>
      <c r="ABM29" s="42"/>
      <c r="ABN29" s="42"/>
      <c r="ABO29" s="42"/>
      <c r="ABP29" s="42"/>
      <c r="ABQ29" s="42"/>
      <c r="ABR29" s="42"/>
      <c r="ABS29" s="42"/>
      <c r="ABT29" s="42"/>
      <c r="ABU29" s="42"/>
      <c r="ABV29" s="42"/>
      <c r="ABW29" s="42"/>
      <c r="ABX29" s="42"/>
      <c r="ABY29" s="42"/>
      <c r="ABZ29" s="42"/>
      <c r="ACA29" s="42"/>
      <c r="ACB29" s="42"/>
      <c r="ACC29" s="42"/>
      <c r="ACD29" s="42"/>
      <c r="ACE29" s="42"/>
      <c r="ACF29" s="42"/>
      <c r="ACG29" s="42"/>
      <c r="ACH29" s="42"/>
      <c r="ACI29" s="42"/>
      <c r="ACJ29" s="42"/>
      <c r="ACK29" s="42"/>
      <c r="ACL29" s="42"/>
      <c r="ACM29" s="42"/>
      <c r="ACN29" s="42"/>
      <c r="ACO29" s="42"/>
      <c r="ACP29" s="42"/>
      <c r="ACQ29" s="42"/>
      <c r="ACR29" s="42"/>
      <c r="ACS29" s="42"/>
      <c r="ACT29" s="42"/>
      <c r="ACU29" s="42"/>
      <c r="ACV29" s="42"/>
      <c r="ACW29" s="42"/>
      <c r="ACX29" s="42"/>
      <c r="ACY29" s="42"/>
      <c r="ACZ29" s="42"/>
      <c r="ADA29" s="42"/>
      <c r="ADB29" s="42"/>
      <c r="ADC29" s="42"/>
      <c r="ADD29" s="42"/>
      <c r="ADE29" s="42"/>
      <c r="ADF29" s="42"/>
      <c r="ADG29" s="42"/>
      <c r="ADH29" s="42"/>
      <c r="ADI29" s="42"/>
      <c r="ADJ29" s="42"/>
      <c r="ADK29" s="42"/>
      <c r="ADL29" s="42"/>
      <c r="ADM29" s="42"/>
      <c r="ADN29" s="42"/>
      <c r="ADO29" s="42"/>
      <c r="ADP29" s="42"/>
      <c r="ADQ29" s="42"/>
      <c r="ADR29" s="42"/>
      <c r="ADS29" s="42"/>
      <c r="ADT29" s="42"/>
      <c r="ADU29" s="42"/>
      <c r="ADV29" s="42"/>
      <c r="ADW29" s="42"/>
      <c r="ADX29" s="42"/>
      <c r="ADY29" s="42"/>
      <c r="ADZ29" s="42"/>
      <c r="AEA29" s="42"/>
      <c r="AEB29" s="42"/>
      <c r="AEC29" s="42"/>
      <c r="AED29" s="42"/>
      <c r="AEE29" s="42"/>
      <c r="AEF29" s="42"/>
      <c r="AEG29" s="42"/>
      <c r="AEH29" s="42"/>
      <c r="AEI29" s="42"/>
      <c r="AEJ29" s="42"/>
      <c r="AEK29" s="42"/>
      <c r="AEL29" s="42"/>
      <c r="AEM29" s="42"/>
      <c r="AEN29" s="42"/>
      <c r="AEO29" s="42"/>
      <c r="AEP29" s="42"/>
      <c r="AEQ29" s="42"/>
      <c r="AER29" s="42"/>
      <c r="AES29" s="42"/>
      <c r="AET29" s="42"/>
      <c r="AEU29" s="42"/>
      <c r="AEV29" s="42"/>
      <c r="AEW29" s="42"/>
      <c r="AEX29" s="42"/>
      <c r="AEY29" s="42"/>
      <c r="AEZ29" s="42"/>
      <c r="AFA29" s="42"/>
      <c r="AFB29" s="42"/>
      <c r="AFC29" s="42"/>
      <c r="AFD29" s="42"/>
      <c r="AFE29" s="42"/>
      <c r="AFF29" s="42"/>
      <c r="AFG29" s="42"/>
      <c r="AFH29" s="42"/>
      <c r="AFI29" s="42"/>
      <c r="AFJ29" s="42"/>
      <c r="AFK29" s="42"/>
      <c r="AFL29" s="42"/>
      <c r="AFM29" s="42"/>
      <c r="AFN29" s="42"/>
      <c r="AFO29" s="42"/>
      <c r="AFP29" s="42"/>
      <c r="AFQ29" s="42"/>
      <c r="AFR29" s="42"/>
      <c r="AFS29" s="42"/>
      <c r="AFT29" s="42"/>
      <c r="AFU29" s="42"/>
      <c r="AFV29" s="42"/>
      <c r="AFW29" s="42"/>
      <c r="AFX29" s="42"/>
      <c r="AFY29" s="42"/>
      <c r="AFZ29" s="42"/>
      <c r="AGA29" s="42"/>
      <c r="AGB29" s="42"/>
      <c r="AGC29" s="42"/>
      <c r="AGD29" s="42"/>
      <c r="AGE29" s="42"/>
      <c r="AGF29" s="42"/>
      <c r="AGG29" s="42"/>
      <c r="AGH29" s="42"/>
      <c r="AGI29" s="42"/>
      <c r="AGJ29" s="42"/>
      <c r="AGK29" s="42"/>
      <c r="AGL29" s="42"/>
      <c r="AGM29" s="42"/>
      <c r="AGN29" s="42"/>
      <c r="AGO29" s="42"/>
      <c r="AGP29" s="42"/>
      <c r="AGQ29" s="42"/>
      <c r="AGR29" s="42"/>
      <c r="AGS29" s="42"/>
      <c r="AGT29" s="42"/>
      <c r="AGU29" s="42"/>
      <c r="AGV29" s="42"/>
      <c r="AGW29" s="42"/>
      <c r="AGX29" s="42"/>
      <c r="AGY29" s="42"/>
      <c r="AGZ29" s="42"/>
      <c r="AHA29" s="42"/>
      <c r="AHB29" s="42"/>
      <c r="AHC29" s="42"/>
      <c r="AHD29" s="42"/>
      <c r="AHE29" s="42"/>
      <c r="AHF29" s="42"/>
      <c r="AHG29" s="42"/>
      <c r="AHH29" s="42"/>
      <c r="AHI29" s="42"/>
      <c r="AHJ29" s="42"/>
      <c r="AHK29" s="42"/>
      <c r="AHL29" s="42"/>
      <c r="AHM29" s="42"/>
      <c r="AHN29" s="42"/>
      <c r="AHO29" s="42"/>
      <c r="AHP29" s="42"/>
      <c r="AHQ29" s="42"/>
      <c r="AHR29" s="42"/>
      <c r="AHS29" s="42"/>
      <c r="AHT29" s="42"/>
      <c r="AHU29" s="42"/>
      <c r="AHV29" s="42"/>
      <c r="AHW29" s="42"/>
      <c r="AHX29" s="42"/>
      <c r="AHY29" s="42"/>
      <c r="AHZ29" s="42"/>
      <c r="AIA29" s="42"/>
      <c r="AIB29" s="42"/>
      <c r="AIC29" s="42"/>
      <c r="AID29" s="42"/>
      <c r="AIE29" s="42"/>
      <c r="AIF29" s="42"/>
      <c r="AIG29" s="42"/>
      <c r="AIH29" s="42"/>
      <c r="AII29" s="42"/>
      <c r="AIJ29" s="42"/>
      <c r="AIK29" s="42"/>
      <c r="AIL29" s="42"/>
      <c r="AIM29" s="42"/>
      <c r="AIN29" s="42"/>
      <c r="AIO29" s="42"/>
      <c r="AIP29" s="42"/>
      <c r="AIQ29" s="42"/>
      <c r="AIR29" s="42"/>
      <c r="AIS29" s="42"/>
      <c r="AIT29" s="42"/>
      <c r="AIU29" s="42"/>
      <c r="AIV29" s="42"/>
      <c r="AIW29" s="42"/>
      <c r="AIX29" s="42"/>
      <c r="AIY29" s="42"/>
      <c r="AIZ29" s="42"/>
      <c r="AJA29" s="42"/>
      <c r="AJB29" s="42"/>
      <c r="AJC29" s="42"/>
      <c r="AJD29" s="42"/>
      <c r="AJE29" s="42"/>
      <c r="AJF29" s="42"/>
      <c r="AJG29" s="42"/>
      <c r="AJH29" s="42"/>
      <c r="AJI29" s="42"/>
      <c r="AJJ29" s="42"/>
      <c r="AJK29" s="42"/>
      <c r="AJL29" s="42"/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/>
      <c r="AKN29" s="42"/>
      <c r="AKO29" s="42"/>
      <c r="AKP29" s="42"/>
      <c r="AKQ29" s="42"/>
      <c r="AKR29" s="42"/>
      <c r="AKS29" s="42"/>
      <c r="AKT29" s="42"/>
      <c r="AKU29" s="42"/>
      <c r="AKV29" s="42"/>
      <c r="AKW29" s="42"/>
      <c r="AKX29" s="42"/>
      <c r="AKY29" s="42"/>
      <c r="AKZ29" s="42"/>
      <c r="ALA29" s="42"/>
      <c r="ALB29" s="42"/>
      <c r="ALC29" s="42"/>
      <c r="ALD29" s="42"/>
      <c r="ALE29" s="42"/>
      <c r="ALF29" s="42"/>
      <c r="ALG29" s="42"/>
      <c r="ALH29" s="42"/>
      <c r="ALI29" s="42"/>
      <c r="ALJ29" s="42"/>
      <c r="ALK29" s="42"/>
      <c r="ALL29" s="42"/>
      <c r="ALM29" s="42"/>
      <c r="ALN29" s="42"/>
      <c r="ALO29" s="42"/>
      <c r="ALP29" s="42"/>
      <c r="ALQ29" s="42"/>
      <c r="ALR29" s="42"/>
      <c r="ALS29" s="42"/>
      <c r="ALT29" s="42"/>
      <c r="ALU29" s="42"/>
      <c r="ALV29" s="42"/>
      <c r="ALW29" s="42"/>
      <c r="ALX29" s="42"/>
      <c r="ALY29" s="42"/>
      <c r="ALZ29" s="42"/>
      <c r="AMA29" s="42"/>
      <c r="AMB29" s="42"/>
      <c r="AMC29" s="42"/>
      <c r="AMD29" s="42"/>
      <c r="AME29" s="42"/>
    </row>
    <row r="30" spans="1:1019" customFormat="1" ht="26.4" x14ac:dyDescent="0.25">
      <c r="A30" s="57"/>
      <c r="B30" s="55" t="s">
        <v>246</v>
      </c>
      <c r="C30" s="128">
        <v>1</v>
      </c>
      <c r="D30" s="145" t="s">
        <v>44</v>
      </c>
      <c r="E30" s="76">
        <v>500</v>
      </c>
      <c r="F30" s="53">
        <f>IF(C30&gt;0,C30*E30,"")</f>
        <v>500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</row>
    <row r="31" spans="1:1019" customFormat="1" x14ac:dyDescent="0.25">
      <c r="A31" s="57"/>
      <c r="B31" s="55"/>
      <c r="C31" s="128"/>
      <c r="D31" s="145"/>
      <c r="E31" s="76"/>
      <c r="F31" s="5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</row>
    <row r="32" spans="1:1019" customFormat="1" x14ac:dyDescent="0.25">
      <c r="A32" s="57"/>
      <c r="B32" s="55" t="s">
        <v>319</v>
      </c>
      <c r="C32" s="128">
        <v>1</v>
      </c>
      <c r="D32" s="145" t="s">
        <v>44</v>
      </c>
      <c r="E32" s="76">
        <v>1000</v>
      </c>
      <c r="F32" s="53">
        <f>IF(C32&gt;0,C32*E32,"")</f>
        <v>1000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42"/>
      <c r="MH32" s="42"/>
      <c r="MI32" s="42"/>
      <c r="MJ32" s="42"/>
      <c r="MK32" s="42"/>
      <c r="ML32" s="42"/>
      <c r="MM32" s="42"/>
      <c r="MN32" s="42"/>
      <c r="MO32" s="42"/>
      <c r="MP32" s="42"/>
      <c r="MQ32" s="42"/>
      <c r="MR32" s="42"/>
      <c r="MS32" s="42"/>
      <c r="MT32" s="42"/>
      <c r="MU32" s="42"/>
      <c r="MV32" s="42"/>
      <c r="MW32" s="42"/>
      <c r="MX32" s="42"/>
      <c r="MY32" s="42"/>
      <c r="MZ32" s="42"/>
      <c r="NA32" s="42"/>
      <c r="NB32" s="42"/>
      <c r="NC32" s="42"/>
      <c r="ND32" s="42"/>
      <c r="NE32" s="42"/>
      <c r="NF32" s="42"/>
      <c r="NG32" s="42"/>
      <c r="NH32" s="42"/>
      <c r="NI32" s="42"/>
      <c r="NJ32" s="42"/>
      <c r="NK32" s="42"/>
      <c r="NL32" s="42"/>
      <c r="NM32" s="42"/>
      <c r="NN32" s="42"/>
      <c r="NO32" s="42"/>
      <c r="NP32" s="42"/>
      <c r="NQ32" s="42"/>
      <c r="NR32" s="42"/>
      <c r="NS32" s="42"/>
      <c r="NT32" s="42"/>
      <c r="NU32" s="42"/>
      <c r="NV32" s="42"/>
      <c r="NW32" s="42"/>
      <c r="NX32" s="42"/>
      <c r="NY32" s="42"/>
      <c r="NZ32" s="42"/>
      <c r="OA32" s="42"/>
      <c r="OB32" s="42"/>
      <c r="OC32" s="42"/>
      <c r="OD32" s="42"/>
      <c r="OE32" s="42"/>
      <c r="OF32" s="42"/>
      <c r="OG32" s="42"/>
      <c r="OH32" s="42"/>
      <c r="OI32" s="42"/>
      <c r="OJ32" s="42"/>
      <c r="OK32" s="42"/>
      <c r="OL32" s="42"/>
      <c r="OM32" s="42"/>
      <c r="ON32" s="42"/>
      <c r="OO32" s="42"/>
      <c r="OP32" s="42"/>
      <c r="OQ32" s="42"/>
      <c r="OR32" s="42"/>
      <c r="OS32" s="42"/>
      <c r="OT32" s="42"/>
      <c r="OU32" s="42"/>
      <c r="OV32" s="42"/>
      <c r="OW32" s="42"/>
      <c r="OX32" s="42"/>
      <c r="OY32" s="42"/>
      <c r="OZ32" s="42"/>
      <c r="PA32" s="42"/>
      <c r="PB32" s="42"/>
      <c r="PC32" s="42"/>
      <c r="PD32" s="42"/>
      <c r="PE32" s="42"/>
      <c r="PF32" s="42"/>
      <c r="PG32" s="42"/>
      <c r="PH32" s="42"/>
      <c r="PI32" s="42"/>
      <c r="PJ32" s="42"/>
      <c r="PK32" s="42"/>
      <c r="PL32" s="42"/>
      <c r="PM32" s="42"/>
      <c r="PN32" s="42"/>
      <c r="PO32" s="42"/>
      <c r="PP32" s="42"/>
      <c r="PQ32" s="42"/>
      <c r="PR32" s="42"/>
      <c r="PS32" s="42"/>
      <c r="PT32" s="42"/>
      <c r="PU32" s="42"/>
      <c r="PV32" s="42"/>
      <c r="PW32" s="42"/>
      <c r="PX32" s="42"/>
      <c r="PY32" s="42"/>
      <c r="PZ32" s="42"/>
      <c r="QA32" s="42"/>
      <c r="QB32" s="42"/>
      <c r="QC32" s="42"/>
      <c r="QD32" s="42"/>
      <c r="QE32" s="42"/>
      <c r="QF32" s="42"/>
      <c r="QG32" s="42"/>
      <c r="QH32" s="42"/>
      <c r="QI32" s="42"/>
      <c r="QJ32" s="42"/>
      <c r="QK32" s="42"/>
      <c r="QL32" s="42"/>
      <c r="QM32" s="42"/>
      <c r="QN32" s="42"/>
      <c r="QO32" s="42"/>
      <c r="QP32" s="42"/>
      <c r="QQ32" s="42"/>
      <c r="QR32" s="42"/>
      <c r="QS32" s="42"/>
      <c r="QT32" s="42"/>
      <c r="QU32" s="42"/>
      <c r="QV32" s="42"/>
      <c r="QW32" s="42"/>
      <c r="QX32" s="42"/>
      <c r="QY32" s="42"/>
      <c r="QZ32" s="42"/>
      <c r="RA32" s="42"/>
      <c r="RB32" s="42"/>
      <c r="RC32" s="42"/>
      <c r="RD32" s="42"/>
      <c r="RE32" s="42"/>
      <c r="RF32" s="42"/>
      <c r="RG32" s="42"/>
      <c r="RH32" s="42"/>
      <c r="RI32" s="42"/>
      <c r="RJ32" s="42"/>
      <c r="RK32" s="42"/>
      <c r="RL32" s="42"/>
      <c r="RM32" s="42"/>
      <c r="RN32" s="42"/>
      <c r="RO32" s="42"/>
      <c r="RP32" s="42"/>
      <c r="RQ32" s="42"/>
      <c r="RR32" s="42"/>
      <c r="RS32" s="42"/>
      <c r="RT32" s="42"/>
      <c r="RU32" s="42"/>
      <c r="RV32" s="42"/>
      <c r="RW32" s="42"/>
      <c r="RX32" s="42"/>
      <c r="RY32" s="42"/>
      <c r="RZ32" s="42"/>
      <c r="SA32" s="42"/>
      <c r="SB32" s="42"/>
      <c r="SC32" s="42"/>
      <c r="SD32" s="42"/>
      <c r="SE32" s="42"/>
      <c r="SF32" s="42"/>
      <c r="SG32" s="42"/>
      <c r="SH32" s="42"/>
      <c r="SI32" s="42"/>
      <c r="SJ32" s="42"/>
      <c r="SK32" s="42"/>
      <c r="SL32" s="42"/>
      <c r="SM32" s="42"/>
      <c r="SN32" s="42"/>
      <c r="SO32" s="42"/>
      <c r="SP32" s="42"/>
      <c r="SQ32" s="42"/>
      <c r="SR32" s="42"/>
      <c r="SS32" s="42"/>
      <c r="ST32" s="42"/>
      <c r="SU32" s="42"/>
      <c r="SV32" s="42"/>
      <c r="SW32" s="42"/>
      <c r="SX32" s="42"/>
      <c r="SY32" s="42"/>
      <c r="SZ32" s="42"/>
      <c r="TA32" s="42"/>
      <c r="TB32" s="42"/>
      <c r="TC32" s="42"/>
      <c r="TD32" s="42"/>
      <c r="TE32" s="42"/>
      <c r="TF32" s="42"/>
      <c r="TG32" s="42"/>
      <c r="TH32" s="42"/>
      <c r="TI32" s="42"/>
      <c r="TJ32" s="42"/>
      <c r="TK32" s="42"/>
      <c r="TL32" s="42"/>
      <c r="TM32" s="42"/>
      <c r="TN32" s="42"/>
      <c r="TO32" s="42"/>
      <c r="TP32" s="42"/>
      <c r="TQ32" s="42"/>
      <c r="TR32" s="42"/>
      <c r="TS32" s="42"/>
      <c r="TT32" s="42"/>
      <c r="TU32" s="42"/>
      <c r="TV32" s="42"/>
      <c r="TW32" s="42"/>
      <c r="TX32" s="42"/>
      <c r="TY32" s="42"/>
      <c r="TZ32" s="42"/>
      <c r="UA32" s="42"/>
      <c r="UB32" s="42"/>
      <c r="UC32" s="42"/>
      <c r="UD32" s="42"/>
      <c r="UE32" s="42"/>
      <c r="UF32" s="42"/>
      <c r="UG32" s="42"/>
      <c r="UH32" s="42"/>
      <c r="UI32" s="42"/>
      <c r="UJ32" s="42"/>
      <c r="UK32" s="42"/>
      <c r="UL32" s="42"/>
      <c r="UM32" s="42"/>
      <c r="UN32" s="42"/>
      <c r="UO32" s="42"/>
      <c r="UP32" s="42"/>
      <c r="UQ32" s="42"/>
      <c r="UR32" s="42"/>
      <c r="US32" s="42"/>
      <c r="UT32" s="42"/>
      <c r="UU32" s="42"/>
      <c r="UV32" s="42"/>
      <c r="UW32" s="42"/>
      <c r="UX32" s="42"/>
      <c r="UY32" s="42"/>
      <c r="UZ32" s="42"/>
      <c r="VA32" s="42"/>
      <c r="VB32" s="42"/>
      <c r="VC32" s="42"/>
      <c r="VD32" s="42"/>
      <c r="VE32" s="42"/>
      <c r="VF32" s="42"/>
      <c r="VG32" s="42"/>
      <c r="VH32" s="42"/>
      <c r="VI32" s="42"/>
      <c r="VJ32" s="42"/>
      <c r="VK32" s="42"/>
      <c r="VL32" s="42"/>
      <c r="VM32" s="42"/>
      <c r="VN32" s="42"/>
      <c r="VO32" s="42"/>
      <c r="VP32" s="42"/>
      <c r="VQ32" s="42"/>
      <c r="VR32" s="42"/>
      <c r="VS32" s="42"/>
      <c r="VT32" s="42"/>
      <c r="VU32" s="42"/>
      <c r="VV32" s="42"/>
      <c r="VW32" s="42"/>
      <c r="VX32" s="42"/>
      <c r="VY32" s="42"/>
      <c r="VZ32" s="42"/>
      <c r="WA32" s="42"/>
      <c r="WB32" s="42"/>
      <c r="WC32" s="42"/>
      <c r="WD32" s="42"/>
      <c r="WE32" s="42"/>
      <c r="WF32" s="42"/>
      <c r="WG32" s="42"/>
      <c r="WH32" s="42"/>
      <c r="WI32" s="42"/>
      <c r="WJ32" s="42"/>
      <c r="WK32" s="42"/>
      <c r="WL32" s="42"/>
      <c r="WM32" s="42"/>
      <c r="WN32" s="42"/>
      <c r="WO32" s="42"/>
      <c r="WP32" s="42"/>
      <c r="WQ32" s="42"/>
      <c r="WR32" s="42"/>
      <c r="WS32" s="42"/>
      <c r="WT32" s="42"/>
      <c r="WU32" s="42"/>
      <c r="WV32" s="42"/>
      <c r="WW32" s="42"/>
      <c r="WX32" s="42"/>
      <c r="WY32" s="42"/>
      <c r="WZ32" s="42"/>
      <c r="XA32" s="42"/>
      <c r="XB32" s="42"/>
      <c r="XC32" s="42"/>
      <c r="XD32" s="42"/>
      <c r="XE32" s="42"/>
      <c r="XF32" s="42"/>
      <c r="XG32" s="42"/>
      <c r="XH32" s="42"/>
      <c r="XI32" s="42"/>
      <c r="XJ32" s="42"/>
      <c r="XK32" s="42"/>
      <c r="XL32" s="42"/>
      <c r="XM32" s="42"/>
      <c r="XN32" s="42"/>
      <c r="XO32" s="42"/>
      <c r="XP32" s="42"/>
      <c r="XQ32" s="42"/>
      <c r="XR32" s="42"/>
      <c r="XS32" s="42"/>
      <c r="XT32" s="42"/>
      <c r="XU32" s="42"/>
      <c r="XV32" s="42"/>
      <c r="XW32" s="42"/>
      <c r="XX32" s="42"/>
      <c r="XY32" s="42"/>
      <c r="XZ32" s="42"/>
      <c r="YA32" s="42"/>
      <c r="YB32" s="42"/>
      <c r="YC32" s="42"/>
      <c r="YD32" s="42"/>
      <c r="YE32" s="42"/>
      <c r="YF32" s="42"/>
      <c r="YG32" s="42"/>
      <c r="YH32" s="42"/>
      <c r="YI32" s="42"/>
      <c r="YJ32" s="42"/>
      <c r="YK32" s="42"/>
      <c r="YL32" s="42"/>
      <c r="YM32" s="42"/>
      <c r="YN32" s="42"/>
      <c r="YO32" s="42"/>
      <c r="YP32" s="42"/>
      <c r="YQ32" s="42"/>
      <c r="YR32" s="42"/>
      <c r="YS32" s="42"/>
      <c r="YT32" s="42"/>
      <c r="YU32" s="42"/>
      <c r="YV32" s="42"/>
      <c r="YW32" s="42"/>
      <c r="YX32" s="42"/>
      <c r="YY32" s="42"/>
      <c r="YZ32" s="42"/>
      <c r="ZA32" s="42"/>
      <c r="ZB32" s="42"/>
      <c r="ZC32" s="42"/>
      <c r="ZD32" s="42"/>
      <c r="ZE32" s="42"/>
      <c r="ZF32" s="42"/>
      <c r="ZG32" s="42"/>
      <c r="ZH32" s="42"/>
      <c r="ZI32" s="42"/>
      <c r="ZJ32" s="42"/>
      <c r="ZK32" s="42"/>
      <c r="ZL32" s="42"/>
      <c r="ZM32" s="42"/>
      <c r="ZN32" s="42"/>
      <c r="ZO32" s="42"/>
      <c r="ZP32" s="42"/>
      <c r="ZQ32" s="42"/>
      <c r="ZR32" s="42"/>
      <c r="ZS32" s="42"/>
      <c r="ZT32" s="42"/>
      <c r="ZU32" s="42"/>
      <c r="ZV32" s="42"/>
      <c r="ZW32" s="42"/>
      <c r="ZX32" s="42"/>
      <c r="ZY32" s="42"/>
      <c r="ZZ32" s="42"/>
      <c r="AAA32" s="42"/>
      <c r="AAB32" s="42"/>
      <c r="AAC32" s="42"/>
      <c r="AAD32" s="42"/>
      <c r="AAE32" s="42"/>
      <c r="AAF32" s="42"/>
      <c r="AAG32" s="42"/>
      <c r="AAH32" s="42"/>
      <c r="AAI32" s="42"/>
      <c r="AAJ32" s="42"/>
      <c r="AAK32" s="42"/>
      <c r="AAL32" s="42"/>
      <c r="AAM32" s="42"/>
      <c r="AAN32" s="42"/>
      <c r="AAO32" s="42"/>
      <c r="AAP32" s="42"/>
      <c r="AAQ32" s="42"/>
      <c r="AAR32" s="42"/>
      <c r="AAS32" s="42"/>
      <c r="AAT32" s="42"/>
      <c r="AAU32" s="42"/>
      <c r="AAV32" s="42"/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42"/>
      <c r="ABJ32" s="42"/>
      <c r="ABK32" s="42"/>
      <c r="ABL32" s="42"/>
      <c r="ABM32" s="42"/>
      <c r="ABN32" s="42"/>
      <c r="ABO32" s="42"/>
      <c r="ABP32" s="42"/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42"/>
      <c r="ACB32" s="42"/>
      <c r="ACC32" s="42"/>
      <c r="ACD32" s="42"/>
      <c r="ACE32" s="42"/>
      <c r="ACF32" s="42"/>
      <c r="ACG32" s="42"/>
      <c r="ACH32" s="42"/>
      <c r="ACI32" s="42"/>
      <c r="ACJ32" s="42"/>
      <c r="ACK32" s="42"/>
      <c r="ACL32" s="42"/>
      <c r="ACM32" s="42"/>
      <c r="ACN32" s="42"/>
      <c r="ACO32" s="42"/>
      <c r="ACP32" s="42"/>
      <c r="ACQ32" s="42"/>
      <c r="ACR32" s="42"/>
      <c r="ACS32" s="42"/>
      <c r="ACT32" s="42"/>
      <c r="ACU32" s="42"/>
      <c r="ACV32" s="42"/>
      <c r="ACW32" s="42"/>
      <c r="ACX32" s="42"/>
      <c r="ACY32" s="42"/>
      <c r="ACZ32" s="42"/>
      <c r="ADA32" s="42"/>
      <c r="ADB32" s="42"/>
      <c r="ADC32" s="42"/>
      <c r="ADD32" s="42"/>
      <c r="ADE32" s="42"/>
      <c r="ADF32" s="42"/>
      <c r="ADG32" s="42"/>
      <c r="ADH32" s="42"/>
      <c r="ADI32" s="42"/>
      <c r="ADJ32" s="4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42"/>
      <c r="AEE32" s="42"/>
      <c r="AEF32" s="42"/>
      <c r="AEG32" s="42"/>
      <c r="AEH32" s="42"/>
      <c r="AEI32" s="42"/>
      <c r="AEJ32" s="42"/>
      <c r="AEK32" s="42"/>
      <c r="AEL32" s="42"/>
      <c r="AEM32" s="42"/>
      <c r="AEN32" s="42"/>
      <c r="AEO32" s="42"/>
      <c r="AEP32" s="42"/>
      <c r="AEQ32" s="42"/>
      <c r="AER32" s="42"/>
      <c r="AES32" s="42"/>
      <c r="AET32" s="42"/>
      <c r="AEU32" s="42"/>
      <c r="AEV32" s="42"/>
      <c r="AEW32" s="42"/>
      <c r="AEX32" s="42"/>
      <c r="AEY32" s="42"/>
      <c r="AEZ32" s="42"/>
      <c r="AFA32" s="42"/>
      <c r="AFB32" s="42"/>
      <c r="AFC32" s="42"/>
      <c r="AFD32" s="42"/>
      <c r="AFE32" s="42"/>
      <c r="AFF32" s="42"/>
      <c r="AFG32" s="42"/>
      <c r="AFH32" s="42"/>
      <c r="AFI32" s="42"/>
      <c r="AFJ32" s="42"/>
      <c r="AFK32" s="42"/>
      <c r="AFL32" s="42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42"/>
      <c r="AFX32" s="42"/>
      <c r="AFY32" s="42"/>
      <c r="AFZ32" s="42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42"/>
      <c r="AGL32" s="42"/>
      <c r="AGM32" s="42"/>
      <c r="AGN32" s="42"/>
      <c r="AGO32" s="42"/>
      <c r="AGP32" s="42"/>
      <c r="AGQ32" s="42"/>
      <c r="AGR32" s="4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42"/>
      <c r="AHD32" s="42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42"/>
      <c r="AHP32" s="42"/>
      <c r="AHQ32" s="42"/>
      <c r="AHR32" s="42"/>
      <c r="AHS32" s="42"/>
      <c r="AHT32" s="42"/>
      <c r="AHU32" s="42"/>
      <c r="AHV32" s="42"/>
      <c r="AHW32" s="42"/>
      <c r="AHX32" s="42"/>
      <c r="AHY32" s="42"/>
      <c r="AHZ32" s="42"/>
      <c r="AIA32" s="42"/>
      <c r="AIB32" s="42"/>
      <c r="AIC32" s="42"/>
      <c r="AID32" s="42"/>
      <c r="AIE32" s="42"/>
      <c r="AIF32" s="42"/>
      <c r="AIG32" s="42"/>
      <c r="AIH32" s="42"/>
      <c r="AII32" s="42"/>
      <c r="AIJ32" s="42"/>
      <c r="AIK32" s="42"/>
      <c r="AIL32" s="42"/>
      <c r="AIM32" s="42"/>
      <c r="AIN32" s="42"/>
      <c r="AIO32" s="42"/>
      <c r="AIP32" s="42"/>
      <c r="AIQ32" s="42"/>
      <c r="AIR32" s="42"/>
      <c r="AIS32" s="42"/>
      <c r="AIT32" s="42"/>
      <c r="AIU32" s="42"/>
      <c r="AIV32" s="42"/>
      <c r="AIW32" s="42"/>
      <c r="AIX32" s="42"/>
      <c r="AIY32" s="42"/>
      <c r="AIZ32" s="42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42"/>
      <c r="AJY32" s="42"/>
      <c r="AJZ32" s="42"/>
      <c r="AKA32" s="42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42"/>
      <c r="AKQ32" s="42"/>
      <c r="AKR32" s="42"/>
      <c r="AKS32" s="42"/>
      <c r="AKT32" s="42"/>
      <c r="AKU32" s="42"/>
      <c r="AKV32" s="42"/>
      <c r="AKW32" s="42"/>
      <c r="AKX32" s="42"/>
      <c r="AKY32" s="42"/>
      <c r="AKZ32" s="42"/>
      <c r="ALA32" s="42"/>
      <c r="ALB32" s="42"/>
      <c r="ALC32" s="42"/>
      <c r="ALD32" s="42"/>
      <c r="ALE32" s="42"/>
      <c r="ALF32" s="42"/>
      <c r="ALG32" s="42"/>
      <c r="ALH32" s="42"/>
      <c r="ALI32" s="42"/>
      <c r="ALJ32" s="42"/>
      <c r="ALK32" s="42"/>
      <c r="ALL32" s="42"/>
      <c r="ALM32" s="42"/>
      <c r="ALN32" s="42"/>
      <c r="ALO32" s="42"/>
      <c r="ALP32" s="42"/>
      <c r="ALQ32" s="42"/>
      <c r="ALR32" s="42"/>
      <c r="ALS32" s="42"/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</row>
    <row r="33" spans="1:1019" customFormat="1" x14ac:dyDescent="0.25">
      <c r="A33" s="57"/>
      <c r="B33" s="55"/>
      <c r="C33" s="128"/>
      <c r="D33" s="145"/>
      <c r="E33" s="76"/>
      <c r="F33" s="5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  <c r="ADB33" s="42"/>
      <c r="ADC33" s="42"/>
      <c r="ADD33" s="42"/>
      <c r="ADE33" s="42"/>
      <c r="ADF33" s="42"/>
      <c r="ADG33" s="42"/>
      <c r="ADH33" s="42"/>
      <c r="ADI33" s="42"/>
      <c r="ADJ33" s="42"/>
      <c r="ADK33" s="42"/>
      <c r="ADL33" s="42"/>
      <c r="ADM33" s="42"/>
      <c r="ADN33" s="42"/>
      <c r="ADO33" s="42"/>
      <c r="ADP33" s="42"/>
      <c r="ADQ33" s="42"/>
      <c r="ADR33" s="42"/>
      <c r="ADS33" s="42"/>
      <c r="ADT33" s="42"/>
      <c r="ADU33" s="42"/>
      <c r="ADV33" s="42"/>
      <c r="ADW33" s="42"/>
      <c r="ADX33" s="42"/>
      <c r="ADY33" s="42"/>
      <c r="ADZ33" s="42"/>
      <c r="AEA33" s="42"/>
      <c r="AEB33" s="42"/>
      <c r="AEC33" s="42"/>
      <c r="AED33" s="42"/>
      <c r="AEE33" s="42"/>
      <c r="AEF33" s="42"/>
      <c r="AEG33" s="42"/>
      <c r="AEH33" s="42"/>
      <c r="AEI33" s="42"/>
      <c r="AEJ33" s="42"/>
      <c r="AEK33" s="42"/>
      <c r="AEL33" s="42"/>
      <c r="AEM33" s="42"/>
      <c r="AEN33" s="42"/>
      <c r="AEO33" s="42"/>
      <c r="AEP33" s="42"/>
      <c r="AEQ33" s="42"/>
      <c r="AER33" s="42"/>
      <c r="AES33" s="42"/>
      <c r="AET33" s="42"/>
      <c r="AEU33" s="42"/>
      <c r="AEV33" s="42"/>
      <c r="AEW33" s="42"/>
      <c r="AEX33" s="42"/>
      <c r="AEY33" s="42"/>
      <c r="AEZ33" s="42"/>
      <c r="AFA33" s="42"/>
      <c r="AFB33" s="42"/>
      <c r="AFC33" s="42"/>
      <c r="AFD33" s="42"/>
      <c r="AFE33" s="42"/>
      <c r="AFF33" s="42"/>
      <c r="AFG33" s="42"/>
      <c r="AFH33" s="42"/>
      <c r="AFI33" s="42"/>
      <c r="AFJ33" s="42"/>
      <c r="AFK33" s="42"/>
      <c r="AFL33" s="42"/>
      <c r="AFM33" s="42"/>
      <c r="AFN33" s="42"/>
      <c r="AFO33" s="42"/>
      <c r="AFP33" s="42"/>
      <c r="AFQ33" s="42"/>
      <c r="AFR33" s="42"/>
      <c r="AFS33" s="42"/>
      <c r="AFT33" s="42"/>
      <c r="AFU33" s="42"/>
      <c r="AFV33" s="42"/>
      <c r="AFW33" s="42"/>
      <c r="AFX33" s="42"/>
      <c r="AFY33" s="42"/>
      <c r="AFZ33" s="42"/>
      <c r="AGA33" s="42"/>
      <c r="AGB33" s="42"/>
      <c r="AGC33" s="42"/>
      <c r="AGD33" s="42"/>
      <c r="AGE33" s="42"/>
      <c r="AGF33" s="42"/>
      <c r="AGG33" s="42"/>
      <c r="AGH33" s="42"/>
      <c r="AGI33" s="42"/>
      <c r="AGJ33" s="42"/>
      <c r="AGK33" s="42"/>
      <c r="AGL33" s="42"/>
      <c r="AGM33" s="42"/>
      <c r="AGN33" s="42"/>
      <c r="AGO33" s="42"/>
      <c r="AGP33" s="42"/>
      <c r="AGQ33" s="42"/>
      <c r="AGR33" s="42"/>
      <c r="AGS33" s="42"/>
      <c r="AGT33" s="42"/>
      <c r="AGU33" s="42"/>
      <c r="AGV33" s="42"/>
      <c r="AGW33" s="42"/>
      <c r="AGX33" s="42"/>
      <c r="AGY33" s="42"/>
      <c r="AGZ33" s="42"/>
      <c r="AHA33" s="42"/>
      <c r="AHB33" s="42"/>
      <c r="AHC33" s="42"/>
      <c r="AHD33" s="42"/>
      <c r="AHE33" s="42"/>
      <c r="AHF33" s="42"/>
      <c r="AHG33" s="42"/>
      <c r="AHH33" s="42"/>
      <c r="AHI33" s="42"/>
      <c r="AHJ33" s="42"/>
      <c r="AHK33" s="42"/>
      <c r="AHL33" s="42"/>
      <c r="AHM33" s="42"/>
      <c r="AHN33" s="42"/>
      <c r="AHO33" s="42"/>
      <c r="AHP33" s="42"/>
      <c r="AHQ33" s="42"/>
      <c r="AHR33" s="42"/>
      <c r="AHS33" s="42"/>
      <c r="AHT33" s="42"/>
      <c r="AHU33" s="42"/>
      <c r="AHV33" s="42"/>
      <c r="AHW33" s="42"/>
      <c r="AHX33" s="42"/>
      <c r="AHY33" s="42"/>
      <c r="AHZ33" s="42"/>
      <c r="AIA33" s="42"/>
      <c r="AIB33" s="42"/>
      <c r="AIC33" s="42"/>
      <c r="AID33" s="42"/>
      <c r="AIE33" s="42"/>
      <c r="AIF33" s="42"/>
      <c r="AIG33" s="42"/>
      <c r="AIH33" s="42"/>
      <c r="AII33" s="42"/>
      <c r="AIJ33" s="42"/>
      <c r="AIK33" s="42"/>
      <c r="AIL33" s="42"/>
      <c r="AIM33" s="42"/>
      <c r="AIN33" s="42"/>
      <c r="AIO33" s="42"/>
      <c r="AIP33" s="42"/>
      <c r="AIQ33" s="42"/>
      <c r="AIR33" s="42"/>
      <c r="AIS33" s="42"/>
      <c r="AIT33" s="42"/>
      <c r="AIU33" s="42"/>
      <c r="AIV33" s="42"/>
      <c r="AIW33" s="42"/>
      <c r="AIX33" s="42"/>
      <c r="AIY33" s="42"/>
      <c r="AIZ33" s="42"/>
      <c r="AJA33" s="42"/>
      <c r="AJB33" s="42"/>
      <c r="AJC33" s="42"/>
      <c r="AJD33" s="42"/>
      <c r="AJE33" s="42"/>
      <c r="AJF33" s="42"/>
      <c r="AJG33" s="42"/>
      <c r="AJH33" s="42"/>
      <c r="AJI33" s="42"/>
      <c r="AJJ33" s="42"/>
      <c r="AJK33" s="42"/>
      <c r="AJL33" s="42"/>
      <c r="AJM33" s="42"/>
      <c r="AJN33" s="42"/>
      <c r="AJO33" s="42"/>
      <c r="AJP33" s="42"/>
      <c r="AJQ33" s="42"/>
      <c r="AJR33" s="42"/>
      <c r="AJS33" s="42"/>
      <c r="AJT33" s="42"/>
      <c r="AJU33" s="42"/>
      <c r="AJV33" s="42"/>
      <c r="AJW33" s="42"/>
      <c r="AJX33" s="42"/>
      <c r="AJY33" s="42"/>
      <c r="AJZ33" s="42"/>
      <c r="AKA33" s="42"/>
      <c r="AKB33" s="42"/>
      <c r="AKC33" s="42"/>
      <c r="AKD33" s="42"/>
      <c r="AKE33" s="42"/>
      <c r="AKF33" s="42"/>
      <c r="AKG33" s="42"/>
      <c r="AKH33" s="42"/>
      <c r="AKI33" s="42"/>
      <c r="AKJ33" s="42"/>
      <c r="AKK33" s="42"/>
      <c r="AKL33" s="42"/>
      <c r="AKM33" s="42"/>
      <c r="AKN33" s="42"/>
      <c r="AKO33" s="42"/>
      <c r="AKP33" s="42"/>
      <c r="AKQ33" s="42"/>
      <c r="AKR33" s="42"/>
      <c r="AKS33" s="42"/>
      <c r="AKT33" s="42"/>
      <c r="AKU33" s="42"/>
      <c r="AKV33" s="42"/>
      <c r="AKW33" s="42"/>
      <c r="AKX33" s="42"/>
      <c r="AKY33" s="42"/>
      <c r="AKZ33" s="42"/>
      <c r="ALA33" s="42"/>
      <c r="ALB33" s="42"/>
      <c r="ALC33" s="42"/>
      <c r="ALD33" s="42"/>
      <c r="ALE33" s="42"/>
      <c r="ALF33" s="42"/>
      <c r="ALG33" s="42"/>
      <c r="ALH33" s="42"/>
      <c r="ALI33" s="42"/>
      <c r="ALJ33" s="42"/>
      <c r="ALK33" s="42"/>
      <c r="ALL33" s="42"/>
      <c r="ALM33" s="42"/>
      <c r="ALN33" s="42"/>
      <c r="ALO33" s="42"/>
      <c r="ALP33" s="42"/>
      <c r="ALQ33" s="42"/>
      <c r="ALR33" s="42"/>
      <c r="ALS33" s="42"/>
      <c r="ALT33" s="42"/>
      <c r="ALU33" s="42"/>
      <c r="ALV33" s="42"/>
      <c r="ALW33" s="42"/>
      <c r="ALX33" s="42"/>
      <c r="ALY33" s="42"/>
      <c r="ALZ33" s="42"/>
      <c r="AMA33" s="42"/>
      <c r="AMB33" s="42"/>
      <c r="AMC33" s="42"/>
      <c r="AMD33" s="42"/>
      <c r="AME33" s="42"/>
    </row>
    <row r="34" spans="1:1019" customFormat="1" x14ac:dyDescent="0.25">
      <c r="A34" s="57"/>
      <c r="B34" s="132" t="s">
        <v>321</v>
      </c>
      <c r="C34" s="128"/>
      <c r="D34" s="145"/>
      <c r="E34" s="76"/>
      <c r="F34" s="5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  <c r="WQ34" s="42"/>
      <c r="WR34" s="42"/>
      <c r="WS34" s="42"/>
      <c r="WT34" s="42"/>
      <c r="WU34" s="42"/>
      <c r="WV34" s="42"/>
      <c r="WW34" s="42"/>
      <c r="WX34" s="42"/>
      <c r="WY34" s="42"/>
      <c r="WZ34" s="42"/>
      <c r="XA34" s="42"/>
      <c r="XB34" s="42"/>
      <c r="XC34" s="42"/>
      <c r="XD34" s="42"/>
      <c r="XE34" s="42"/>
      <c r="XF34" s="42"/>
      <c r="XG34" s="42"/>
      <c r="XH34" s="42"/>
      <c r="XI34" s="42"/>
      <c r="XJ34" s="42"/>
      <c r="XK34" s="42"/>
      <c r="XL34" s="42"/>
      <c r="XM34" s="42"/>
      <c r="XN34" s="42"/>
      <c r="XO34" s="42"/>
      <c r="XP34" s="42"/>
      <c r="XQ34" s="42"/>
      <c r="XR34" s="42"/>
      <c r="XS34" s="42"/>
      <c r="XT34" s="42"/>
      <c r="XU34" s="42"/>
      <c r="XV34" s="42"/>
      <c r="XW34" s="42"/>
      <c r="XX34" s="42"/>
      <c r="XY34" s="42"/>
      <c r="XZ34" s="42"/>
      <c r="YA34" s="42"/>
      <c r="YB34" s="42"/>
      <c r="YC34" s="42"/>
      <c r="YD34" s="42"/>
      <c r="YE34" s="42"/>
      <c r="YF34" s="42"/>
      <c r="YG34" s="42"/>
      <c r="YH34" s="42"/>
      <c r="YI34" s="42"/>
      <c r="YJ34" s="42"/>
      <c r="YK34" s="42"/>
      <c r="YL34" s="42"/>
      <c r="YM34" s="42"/>
      <c r="YN34" s="42"/>
      <c r="YO34" s="42"/>
      <c r="YP34" s="42"/>
      <c r="YQ34" s="42"/>
      <c r="YR34" s="42"/>
      <c r="YS34" s="42"/>
      <c r="YT34" s="42"/>
      <c r="YU34" s="42"/>
      <c r="YV34" s="42"/>
      <c r="YW34" s="42"/>
      <c r="YX34" s="42"/>
      <c r="YY34" s="42"/>
      <c r="YZ34" s="42"/>
      <c r="ZA34" s="42"/>
      <c r="ZB34" s="42"/>
      <c r="ZC34" s="42"/>
      <c r="ZD34" s="42"/>
      <c r="ZE34" s="42"/>
      <c r="ZF34" s="42"/>
      <c r="ZG34" s="42"/>
      <c r="ZH34" s="42"/>
      <c r="ZI34" s="42"/>
      <c r="ZJ34" s="42"/>
      <c r="ZK34" s="42"/>
      <c r="ZL34" s="42"/>
      <c r="ZM34" s="42"/>
      <c r="ZN34" s="42"/>
      <c r="ZO34" s="42"/>
      <c r="ZP34" s="42"/>
      <c r="ZQ34" s="42"/>
      <c r="ZR34" s="42"/>
      <c r="ZS34" s="42"/>
      <c r="ZT34" s="42"/>
      <c r="ZU34" s="42"/>
      <c r="ZV34" s="42"/>
      <c r="ZW34" s="42"/>
      <c r="ZX34" s="42"/>
      <c r="ZY34" s="42"/>
      <c r="ZZ34" s="42"/>
      <c r="AAA34" s="42"/>
      <c r="AAB34" s="42"/>
      <c r="AAC34" s="42"/>
      <c r="AAD34" s="42"/>
      <c r="AAE34" s="42"/>
      <c r="AAF34" s="42"/>
      <c r="AAG34" s="42"/>
      <c r="AAH34" s="42"/>
      <c r="AAI34" s="42"/>
      <c r="AAJ34" s="42"/>
      <c r="AAK34" s="42"/>
      <c r="AAL34" s="42"/>
      <c r="AAM34" s="42"/>
      <c r="AAN34" s="42"/>
      <c r="AAO34" s="42"/>
      <c r="AAP34" s="42"/>
      <c r="AAQ34" s="42"/>
      <c r="AAR34" s="42"/>
      <c r="AAS34" s="42"/>
      <c r="AAT34" s="42"/>
      <c r="AAU34" s="42"/>
      <c r="AAV34" s="42"/>
      <c r="AAW34" s="42"/>
      <c r="AAX34" s="42"/>
      <c r="AAY34" s="42"/>
      <c r="AAZ34" s="42"/>
      <c r="ABA34" s="42"/>
      <c r="ABB34" s="42"/>
      <c r="ABC34" s="42"/>
      <c r="ABD34" s="42"/>
      <c r="ABE34" s="42"/>
      <c r="ABF34" s="42"/>
      <c r="ABG34" s="42"/>
      <c r="ABH34" s="42"/>
      <c r="ABI34" s="42"/>
      <c r="ABJ34" s="42"/>
      <c r="ABK34" s="42"/>
      <c r="ABL34" s="42"/>
      <c r="ABM34" s="42"/>
      <c r="ABN34" s="42"/>
      <c r="ABO34" s="42"/>
      <c r="ABP34" s="42"/>
      <c r="ABQ34" s="42"/>
      <c r="ABR34" s="42"/>
      <c r="ABS34" s="42"/>
      <c r="ABT34" s="42"/>
      <c r="ABU34" s="42"/>
      <c r="ABV34" s="42"/>
      <c r="ABW34" s="42"/>
      <c r="ABX34" s="42"/>
      <c r="ABY34" s="42"/>
      <c r="ABZ34" s="42"/>
      <c r="ACA34" s="42"/>
      <c r="ACB34" s="42"/>
      <c r="ACC34" s="42"/>
      <c r="ACD34" s="42"/>
      <c r="ACE34" s="42"/>
      <c r="ACF34" s="42"/>
      <c r="ACG34" s="42"/>
      <c r="ACH34" s="42"/>
      <c r="ACI34" s="42"/>
      <c r="ACJ34" s="42"/>
      <c r="ACK34" s="42"/>
      <c r="ACL34" s="42"/>
      <c r="ACM34" s="42"/>
      <c r="ACN34" s="42"/>
      <c r="ACO34" s="42"/>
      <c r="ACP34" s="42"/>
      <c r="ACQ34" s="42"/>
      <c r="ACR34" s="42"/>
      <c r="ACS34" s="42"/>
      <c r="ACT34" s="42"/>
      <c r="ACU34" s="42"/>
      <c r="ACV34" s="42"/>
      <c r="ACW34" s="42"/>
      <c r="ACX34" s="42"/>
      <c r="ACY34" s="42"/>
      <c r="ACZ34" s="42"/>
      <c r="ADA34" s="42"/>
      <c r="ADB34" s="42"/>
      <c r="ADC34" s="42"/>
      <c r="ADD34" s="42"/>
      <c r="ADE34" s="42"/>
      <c r="ADF34" s="42"/>
      <c r="ADG34" s="42"/>
      <c r="ADH34" s="42"/>
      <c r="ADI34" s="42"/>
      <c r="ADJ34" s="42"/>
      <c r="ADK34" s="42"/>
      <c r="ADL34" s="42"/>
      <c r="ADM34" s="42"/>
      <c r="ADN34" s="42"/>
      <c r="ADO34" s="42"/>
      <c r="ADP34" s="42"/>
      <c r="ADQ34" s="42"/>
      <c r="ADR34" s="42"/>
      <c r="ADS34" s="42"/>
      <c r="ADT34" s="42"/>
      <c r="ADU34" s="42"/>
      <c r="ADV34" s="42"/>
      <c r="ADW34" s="42"/>
      <c r="ADX34" s="42"/>
      <c r="ADY34" s="42"/>
      <c r="ADZ34" s="42"/>
      <c r="AEA34" s="42"/>
      <c r="AEB34" s="42"/>
      <c r="AEC34" s="42"/>
      <c r="AED34" s="42"/>
      <c r="AEE34" s="42"/>
      <c r="AEF34" s="42"/>
      <c r="AEG34" s="42"/>
      <c r="AEH34" s="42"/>
      <c r="AEI34" s="42"/>
      <c r="AEJ34" s="42"/>
      <c r="AEK34" s="42"/>
      <c r="AEL34" s="42"/>
      <c r="AEM34" s="42"/>
      <c r="AEN34" s="42"/>
      <c r="AEO34" s="42"/>
      <c r="AEP34" s="42"/>
      <c r="AEQ34" s="42"/>
      <c r="AER34" s="42"/>
      <c r="AES34" s="42"/>
      <c r="AET34" s="42"/>
      <c r="AEU34" s="42"/>
      <c r="AEV34" s="42"/>
      <c r="AEW34" s="42"/>
      <c r="AEX34" s="42"/>
      <c r="AEY34" s="42"/>
      <c r="AEZ34" s="42"/>
      <c r="AFA34" s="42"/>
      <c r="AFB34" s="42"/>
      <c r="AFC34" s="42"/>
      <c r="AFD34" s="42"/>
      <c r="AFE34" s="42"/>
      <c r="AFF34" s="42"/>
      <c r="AFG34" s="42"/>
      <c r="AFH34" s="42"/>
      <c r="AFI34" s="42"/>
      <c r="AFJ34" s="42"/>
      <c r="AFK34" s="42"/>
      <c r="AFL34" s="42"/>
      <c r="AFM34" s="42"/>
      <c r="AFN34" s="42"/>
      <c r="AFO34" s="42"/>
      <c r="AFP34" s="42"/>
      <c r="AFQ34" s="42"/>
      <c r="AFR34" s="42"/>
      <c r="AFS34" s="42"/>
      <c r="AFT34" s="42"/>
      <c r="AFU34" s="42"/>
      <c r="AFV34" s="42"/>
      <c r="AFW34" s="42"/>
      <c r="AFX34" s="42"/>
      <c r="AFY34" s="42"/>
      <c r="AFZ34" s="42"/>
      <c r="AGA34" s="42"/>
      <c r="AGB34" s="42"/>
      <c r="AGC34" s="42"/>
      <c r="AGD34" s="42"/>
      <c r="AGE34" s="42"/>
      <c r="AGF34" s="42"/>
      <c r="AGG34" s="42"/>
      <c r="AGH34" s="42"/>
      <c r="AGI34" s="42"/>
      <c r="AGJ34" s="42"/>
      <c r="AGK34" s="42"/>
      <c r="AGL34" s="42"/>
      <c r="AGM34" s="42"/>
      <c r="AGN34" s="42"/>
      <c r="AGO34" s="42"/>
      <c r="AGP34" s="42"/>
      <c r="AGQ34" s="42"/>
      <c r="AGR34" s="42"/>
      <c r="AGS34" s="42"/>
      <c r="AGT34" s="42"/>
      <c r="AGU34" s="42"/>
      <c r="AGV34" s="42"/>
      <c r="AGW34" s="42"/>
      <c r="AGX34" s="42"/>
      <c r="AGY34" s="42"/>
      <c r="AGZ34" s="42"/>
      <c r="AHA34" s="42"/>
      <c r="AHB34" s="42"/>
      <c r="AHC34" s="42"/>
      <c r="AHD34" s="42"/>
      <c r="AHE34" s="42"/>
      <c r="AHF34" s="42"/>
      <c r="AHG34" s="42"/>
      <c r="AHH34" s="42"/>
      <c r="AHI34" s="42"/>
      <c r="AHJ34" s="42"/>
      <c r="AHK34" s="42"/>
      <c r="AHL34" s="42"/>
      <c r="AHM34" s="42"/>
      <c r="AHN34" s="42"/>
      <c r="AHO34" s="42"/>
      <c r="AHP34" s="42"/>
      <c r="AHQ34" s="42"/>
      <c r="AHR34" s="42"/>
      <c r="AHS34" s="42"/>
      <c r="AHT34" s="42"/>
      <c r="AHU34" s="42"/>
      <c r="AHV34" s="42"/>
      <c r="AHW34" s="42"/>
      <c r="AHX34" s="42"/>
      <c r="AHY34" s="42"/>
      <c r="AHZ34" s="42"/>
      <c r="AIA34" s="42"/>
      <c r="AIB34" s="42"/>
      <c r="AIC34" s="42"/>
      <c r="AID34" s="42"/>
      <c r="AIE34" s="42"/>
      <c r="AIF34" s="42"/>
      <c r="AIG34" s="42"/>
      <c r="AIH34" s="42"/>
      <c r="AII34" s="42"/>
      <c r="AIJ34" s="42"/>
      <c r="AIK34" s="42"/>
      <c r="AIL34" s="42"/>
      <c r="AIM34" s="42"/>
      <c r="AIN34" s="42"/>
      <c r="AIO34" s="42"/>
      <c r="AIP34" s="42"/>
      <c r="AIQ34" s="42"/>
      <c r="AIR34" s="42"/>
      <c r="AIS34" s="42"/>
      <c r="AIT34" s="42"/>
      <c r="AIU34" s="42"/>
      <c r="AIV34" s="42"/>
      <c r="AIW34" s="42"/>
      <c r="AIX34" s="42"/>
      <c r="AIY34" s="42"/>
      <c r="AIZ34" s="42"/>
      <c r="AJA34" s="42"/>
      <c r="AJB34" s="42"/>
      <c r="AJC34" s="42"/>
      <c r="AJD34" s="42"/>
      <c r="AJE34" s="42"/>
      <c r="AJF34" s="42"/>
      <c r="AJG34" s="42"/>
      <c r="AJH34" s="42"/>
      <c r="AJI34" s="42"/>
      <c r="AJJ34" s="42"/>
      <c r="AJK34" s="42"/>
      <c r="AJL34" s="42"/>
      <c r="AJM34" s="42"/>
      <c r="AJN34" s="42"/>
      <c r="AJO34" s="42"/>
      <c r="AJP34" s="42"/>
      <c r="AJQ34" s="42"/>
      <c r="AJR34" s="42"/>
      <c r="AJS34" s="42"/>
      <c r="AJT34" s="42"/>
      <c r="AJU34" s="42"/>
      <c r="AJV34" s="42"/>
      <c r="AJW34" s="42"/>
      <c r="AJX34" s="42"/>
      <c r="AJY34" s="42"/>
      <c r="AJZ34" s="42"/>
      <c r="AKA34" s="42"/>
      <c r="AKB34" s="42"/>
      <c r="AKC34" s="42"/>
      <c r="AKD34" s="42"/>
      <c r="AKE34" s="42"/>
      <c r="AKF34" s="42"/>
      <c r="AKG34" s="42"/>
      <c r="AKH34" s="42"/>
      <c r="AKI34" s="42"/>
      <c r="AKJ34" s="42"/>
      <c r="AKK34" s="42"/>
      <c r="AKL34" s="42"/>
      <c r="AKM34" s="42"/>
      <c r="AKN34" s="42"/>
      <c r="AKO34" s="42"/>
      <c r="AKP34" s="42"/>
      <c r="AKQ34" s="42"/>
      <c r="AKR34" s="42"/>
      <c r="AKS34" s="42"/>
      <c r="AKT34" s="42"/>
      <c r="AKU34" s="42"/>
      <c r="AKV34" s="42"/>
      <c r="AKW34" s="42"/>
      <c r="AKX34" s="42"/>
      <c r="AKY34" s="42"/>
      <c r="AKZ34" s="42"/>
      <c r="ALA34" s="42"/>
      <c r="ALB34" s="42"/>
      <c r="ALC34" s="42"/>
      <c r="ALD34" s="42"/>
      <c r="ALE34" s="42"/>
      <c r="ALF34" s="42"/>
      <c r="ALG34" s="42"/>
      <c r="ALH34" s="42"/>
      <c r="ALI34" s="42"/>
      <c r="ALJ34" s="42"/>
      <c r="ALK34" s="42"/>
      <c r="ALL34" s="42"/>
      <c r="ALM34" s="42"/>
      <c r="ALN34" s="42"/>
      <c r="ALO34" s="42"/>
      <c r="ALP34" s="42"/>
      <c r="ALQ34" s="42"/>
      <c r="ALR34" s="42"/>
      <c r="ALS34" s="42"/>
      <c r="ALT34" s="42"/>
      <c r="ALU34" s="42"/>
      <c r="ALV34" s="42"/>
      <c r="ALW34" s="42"/>
      <c r="ALX34" s="42"/>
      <c r="ALY34" s="42"/>
      <c r="ALZ34" s="42"/>
      <c r="AMA34" s="42"/>
      <c r="AMB34" s="42"/>
      <c r="AMC34" s="42"/>
      <c r="AMD34" s="42"/>
      <c r="AME34" s="42"/>
    </row>
    <row r="35" spans="1:1019" customFormat="1" x14ac:dyDescent="0.25">
      <c r="A35" s="57"/>
      <c r="B35" s="55"/>
      <c r="C35" s="128"/>
      <c r="D35" s="145"/>
      <c r="E35" s="76"/>
      <c r="F35" s="5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2"/>
      <c r="ACZ35" s="42"/>
      <c r="ADA35" s="42"/>
      <c r="ADB35" s="42"/>
      <c r="ADC35" s="42"/>
      <c r="ADD35" s="42"/>
      <c r="ADE35" s="42"/>
      <c r="ADF35" s="42"/>
      <c r="ADG35" s="42"/>
      <c r="ADH35" s="42"/>
      <c r="ADI35" s="42"/>
      <c r="ADJ35" s="42"/>
      <c r="ADK35" s="42"/>
      <c r="ADL35" s="42"/>
      <c r="ADM35" s="42"/>
      <c r="ADN35" s="42"/>
      <c r="ADO35" s="42"/>
      <c r="ADP35" s="42"/>
      <c r="ADQ35" s="42"/>
      <c r="ADR35" s="42"/>
      <c r="ADS35" s="42"/>
      <c r="ADT35" s="42"/>
      <c r="ADU35" s="42"/>
      <c r="ADV35" s="42"/>
      <c r="ADW35" s="42"/>
      <c r="ADX35" s="42"/>
      <c r="ADY35" s="42"/>
      <c r="ADZ35" s="42"/>
      <c r="AEA35" s="42"/>
      <c r="AEB35" s="42"/>
      <c r="AEC35" s="42"/>
      <c r="AED35" s="42"/>
      <c r="AEE35" s="42"/>
      <c r="AEF35" s="42"/>
      <c r="AEG35" s="42"/>
      <c r="AEH35" s="42"/>
      <c r="AEI35" s="42"/>
      <c r="AEJ35" s="42"/>
      <c r="AEK35" s="42"/>
      <c r="AEL35" s="42"/>
      <c r="AEM35" s="42"/>
      <c r="AEN35" s="42"/>
      <c r="AEO35" s="42"/>
      <c r="AEP35" s="42"/>
      <c r="AEQ35" s="42"/>
      <c r="AER35" s="42"/>
      <c r="AES35" s="42"/>
      <c r="AET35" s="42"/>
      <c r="AEU35" s="42"/>
      <c r="AEV35" s="42"/>
      <c r="AEW35" s="42"/>
      <c r="AEX35" s="42"/>
      <c r="AEY35" s="42"/>
      <c r="AEZ35" s="42"/>
      <c r="AFA35" s="42"/>
      <c r="AFB35" s="42"/>
      <c r="AFC35" s="42"/>
      <c r="AFD35" s="42"/>
      <c r="AFE35" s="42"/>
      <c r="AFF35" s="42"/>
      <c r="AFG35" s="42"/>
      <c r="AFH35" s="42"/>
      <c r="AFI35" s="42"/>
      <c r="AFJ35" s="42"/>
      <c r="AFK35" s="42"/>
      <c r="AFL35" s="42"/>
      <c r="AFM35" s="42"/>
      <c r="AFN35" s="42"/>
      <c r="AFO35" s="42"/>
      <c r="AFP35" s="42"/>
      <c r="AFQ35" s="42"/>
      <c r="AFR35" s="42"/>
      <c r="AFS35" s="42"/>
      <c r="AFT35" s="42"/>
      <c r="AFU35" s="42"/>
      <c r="AFV35" s="42"/>
      <c r="AFW35" s="42"/>
      <c r="AFX35" s="42"/>
      <c r="AFY35" s="42"/>
      <c r="AFZ35" s="42"/>
      <c r="AGA35" s="42"/>
      <c r="AGB35" s="42"/>
      <c r="AGC35" s="42"/>
      <c r="AGD35" s="42"/>
      <c r="AGE35" s="42"/>
      <c r="AGF35" s="42"/>
      <c r="AGG35" s="42"/>
      <c r="AGH35" s="42"/>
      <c r="AGI35" s="42"/>
      <c r="AGJ35" s="42"/>
      <c r="AGK35" s="42"/>
      <c r="AGL35" s="42"/>
      <c r="AGM35" s="42"/>
      <c r="AGN35" s="42"/>
      <c r="AGO35" s="42"/>
      <c r="AGP35" s="42"/>
      <c r="AGQ35" s="42"/>
      <c r="AGR35" s="42"/>
      <c r="AGS35" s="42"/>
      <c r="AGT35" s="42"/>
      <c r="AGU35" s="42"/>
      <c r="AGV35" s="42"/>
      <c r="AGW35" s="42"/>
      <c r="AGX35" s="42"/>
      <c r="AGY35" s="42"/>
      <c r="AGZ35" s="42"/>
      <c r="AHA35" s="42"/>
      <c r="AHB35" s="42"/>
      <c r="AHC35" s="42"/>
      <c r="AHD35" s="42"/>
      <c r="AHE35" s="42"/>
      <c r="AHF35" s="42"/>
      <c r="AHG35" s="42"/>
      <c r="AHH35" s="42"/>
      <c r="AHI35" s="42"/>
      <c r="AHJ35" s="42"/>
      <c r="AHK35" s="42"/>
      <c r="AHL35" s="42"/>
      <c r="AHM35" s="42"/>
      <c r="AHN35" s="42"/>
      <c r="AHO35" s="42"/>
      <c r="AHP35" s="42"/>
      <c r="AHQ35" s="42"/>
      <c r="AHR35" s="42"/>
      <c r="AHS35" s="42"/>
      <c r="AHT35" s="42"/>
      <c r="AHU35" s="42"/>
      <c r="AHV35" s="42"/>
      <c r="AHW35" s="42"/>
      <c r="AHX35" s="42"/>
      <c r="AHY35" s="42"/>
      <c r="AHZ35" s="42"/>
      <c r="AIA35" s="42"/>
      <c r="AIB35" s="42"/>
      <c r="AIC35" s="42"/>
      <c r="AID35" s="42"/>
      <c r="AIE35" s="42"/>
      <c r="AIF35" s="42"/>
      <c r="AIG35" s="42"/>
      <c r="AIH35" s="42"/>
      <c r="AII35" s="42"/>
      <c r="AIJ35" s="42"/>
      <c r="AIK35" s="42"/>
      <c r="AIL35" s="42"/>
      <c r="AIM35" s="42"/>
      <c r="AIN35" s="42"/>
      <c r="AIO35" s="42"/>
      <c r="AIP35" s="42"/>
      <c r="AIQ35" s="42"/>
      <c r="AIR35" s="42"/>
      <c r="AIS35" s="42"/>
      <c r="AIT35" s="42"/>
      <c r="AIU35" s="42"/>
      <c r="AIV35" s="42"/>
      <c r="AIW35" s="42"/>
      <c r="AIX35" s="42"/>
      <c r="AIY35" s="42"/>
      <c r="AIZ35" s="42"/>
      <c r="AJA35" s="42"/>
      <c r="AJB35" s="42"/>
      <c r="AJC35" s="42"/>
      <c r="AJD35" s="42"/>
      <c r="AJE35" s="42"/>
      <c r="AJF35" s="42"/>
      <c r="AJG35" s="42"/>
      <c r="AJH35" s="42"/>
      <c r="AJI35" s="42"/>
      <c r="AJJ35" s="42"/>
      <c r="AJK35" s="42"/>
      <c r="AJL35" s="42"/>
      <c r="AJM35" s="42"/>
      <c r="AJN35" s="42"/>
      <c r="AJO35" s="42"/>
      <c r="AJP35" s="42"/>
      <c r="AJQ35" s="42"/>
      <c r="AJR35" s="42"/>
      <c r="AJS35" s="42"/>
      <c r="AJT35" s="42"/>
      <c r="AJU35" s="42"/>
      <c r="AJV35" s="42"/>
      <c r="AJW35" s="42"/>
      <c r="AJX35" s="42"/>
      <c r="AJY35" s="42"/>
      <c r="AJZ35" s="42"/>
      <c r="AKA35" s="42"/>
      <c r="AKB35" s="42"/>
      <c r="AKC35" s="42"/>
      <c r="AKD35" s="42"/>
      <c r="AKE35" s="42"/>
      <c r="AKF35" s="42"/>
      <c r="AKG35" s="42"/>
      <c r="AKH35" s="42"/>
      <c r="AKI35" s="42"/>
      <c r="AKJ35" s="42"/>
      <c r="AKK35" s="42"/>
      <c r="AKL35" s="42"/>
      <c r="AKM35" s="42"/>
      <c r="AKN35" s="42"/>
      <c r="AKO35" s="42"/>
      <c r="AKP35" s="42"/>
      <c r="AKQ35" s="42"/>
      <c r="AKR35" s="42"/>
      <c r="AKS35" s="42"/>
      <c r="AKT35" s="42"/>
      <c r="AKU35" s="42"/>
      <c r="AKV35" s="42"/>
      <c r="AKW35" s="42"/>
      <c r="AKX35" s="42"/>
      <c r="AKY35" s="42"/>
      <c r="AKZ35" s="42"/>
      <c r="ALA35" s="42"/>
      <c r="ALB35" s="42"/>
      <c r="ALC35" s="42"/>
      <c r="ALD35" s="42"/>
      <c r="ALE35" s="42"/>
      <c r="ALF35" s="42"/>
      <c r="ALG35" s="42"/>
      <c r="ALH35" s="42"/>
      <c r="ALI35" s="42"/>
      <c r="ALJ35" s="42"/>
      <c r="ALK35" s="42"/>
      <c r="ALL35" s="42"/>
      <c r="ALM35" s="42"/>
      <c r="ALN35" s="42"/>
      <c r="ALO35" s="42"/>
      <c r="ALP35" s="42"/>
      <c r="ALQ35" s="42"/>
      <c r="ALR35" s="42"/>
      <c r="ALS35" s="42"/>
      <c r="ALT35" s="42"/>
      <c r="ALU35" s="42"/>
      <c r="ALV35" s="42"/>
      <c r="ALW35" s="42"/>
      <c r="ALX35" s="42"/>
      <c r="ALY35" s="42"/>
      <c r="ALZ35" s="42"/>
      <c r="AMA35" s="42"/>
      <c r="AMB35" s="42"/>
      <c r="AMC35" s="42"/>
      <c r="AMD35" s="42"/>
      <c r="AME35" s="42"/>
    </row>
    <row r="36" spans="1:1019" customFormat="1" x14ac:dyDescent="0.25">
      <c r="A36" s="57"/>
      <c r="B36" s="55" t="s">
        <v>332</v>
      </c>
      <c r="C36" s="128">
        <v>1</v>
      </c>
      <c r="D36" s="145" t="s">
        <v>44</v>
      </c>
      <c r="E36" s="76">
        <v>3000</v>
      </c>
      <c r="F36" s="53">
        <f>IF(C36&gt;0,C36*E36,"")</f>
        <v>3000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  <c r="NC36" s="42"/>
      <c r="ND36" s="42"/>
      <c r="NE36" s="42"/>
      <c r="NF36" s="42"/>
      <c r="NG36" s="42"/>
      <c r="NH36" s="42"/>
      <c r="NI36" s="42"/>
      <c r="NJ36" s="42"/>
      <c r="NK36" s="42"/>
      <c r="NL36" s="42"/>
      <c r="NM36" s="42"/>
      <c r="NN36" s="42"/>
      <c r="NO36" s="42"/>
      <c r="NP36" s="42"/>
      <c r="NQ36" s="42"/>
      <c r="NR36" s="42"/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2"/>
      <c r="OD36" s="42"/>
      <c r="OE36" s="42"/>
      <c r="OF36" s="42"/>
      <c r="OG36" s="42"/>
      <c r="OH36" s="42"/>
      <c r="OI36" s="42"/>
      <c r="OJ36" s="42"/>
      <c r="OK36" s="42"/>
      <c r="OL36" s="42"/>
      <c r="OM36" s="42"/>
      <c r="ON36" s="42"/>
      <c r="OO36" s="42"/>
      <c r="OP36" s="42"/>
      <c r="OQ36" s="42"/>
      <c r="OR36" s="42"/>
      <c r="OS36" s="42"/>
      <c r="OT36" s="42"/>
      <c r="OU36" s="42"/>
      <c r="OV36" s="42"/>
      <c r="OW36" s="42"/>
      <c r="OX36" s="42"/>
      <c r="OY36" s="42"/>
      <c r="OZ36" s="42"/>
      <c r="PA36" s="42"/>
      <c r="PB36" s="42"/>
      <c r="PC36" s="42"/>
      <c r="PD36" s="42"/>
      <c r="PE36" s="42"/>
      <c r="PF36" s="42"/>
      <c r="PG36" s="42"/>
      <c r="PH36" s="42"/>
      <c r="PI36" s="42"/>
      <c r="PJ36" s="42"/>
      <c r="PK36" s="42"/>
      <c r="PL36" s="42"/>
      <c r="PM36" s="42"/>
      <c r="PN36" s="42"/>
      <c r="PO36" s="42"/>
      <c r="PP36" s="42"/>
      <c r="PQ36" s="42"/>
      <c r="PR36" s="42"/>
      <c r="PS36" s="42"/>
      <c r="PT36" s="42"/>
      <c r="PU36" s="42"/>
      <c r="PV36" s="42"/>
      <c r="PW36" s="42"/>
      <c r="PX36" s="42"/>
      <c r="PY36" s="42"/>
      <c r="PZ36" s="42"/>
      <c r="QA36" s="42"/>
      <c r="QB36" s="42"/>
      <c r="QC36" s="42"/>
      <c r="QD36" s="42"/>
      <c r="QE36" s="42"/>
      <c r="QF36" s="42"/>
      <c r="QG36" s="42"/>
      <c r="QH36" s="42"/>
      <c r="QI36" s="42"/>
      <c r="QJ36" s="42"/>
      <c r="QK36" s="42"/>
      <c r="QL36" s="42"/>
      <c r="QM36" s="42"/>
      <c r="QN36" s="42"/>
      <c r="QO36" s="42"/>
      <c r="QP36" s="42"/>
      <c r="QQ36" s="42"/>
      <c r="QR36" s="42"/>
      <c r="QS36" s="42"/>
      <c r="QT36" s="42"/>
      <c r="QU36" s="42"/>
      <c r="QV36" s="42"/>
      <c r="QW36" s="42"/>
      <c r="QX36" s="42"/>
      <c r="QY36" s="42"/>
      <c r="QZ36" s="42"/>
      <c r="RA36" s="42"/>
      <c r="RB36" s="42"/>
      <c r="RC36" s="42"/>
      <c r="RD36" s="42"/>
      <c r="RE36" s="42"/>
      <c r="RF36" s="42"/>
      <c r="RG36" s="42"/>
      <c r="RH36" s="42"/>
      <c r="RI36" s="42"/>
      <c r="RJ36" s="42"/>
      <c r="RK36" s="42"/>
      <c r="RL36" s="42"/>
      <c r="RM36" s="42"/>
      <c r="RN36" s="42"/>
      <c r="RO36" s="42"/>
      <c r="RP36" s="42"/>
      <c r="RQ36" s="42"/>
      <c r="RR36" s="42"/>
      <c r="RS36" s="42"/>
      <c r="RT36" s="42"/>
      <c r="RU36" s="42"/>
      <c r="RV36" s="42"/>
      <c r="RW36" s="42"/>
      <c r="RX36" s="42"/>
      <c r="RY36" s="42"/>
      <c r="RZ36" s="42"/>
      <c r="SA36" s="42"/>
      <c r="SB36" s="42"/>
      <c r="SC36" s="42"/>
      <c r="SD36" s="42"/>
      <c r="SE36" s="42"/>
      <c r="SF36" s="42"/>
      <c r="SG36" s="42"/>
      <c r="SH36" s="42"/>
      <c r="SI36" s="42"/>
      <c r="SJ36" s="42"/>
      <c r="SK36" s="42"/>
      <c r="SL36" s="42"/>
      <c r="SM36" s="42"/>
      <c r="SN36" s="42"/>
      <c r="SO36" s="42"/>
      <c r="SP36" s="42"/>
      <c r="SQ36" s="42"/>
      <c r="SR36" s="42"/>
      <c r="SS36" s="42"/>
      <c r="ST36" s="42"/>
      <c r="SU36" s="42"/>
      <c r="SV36" s="42"/>
      <c r="SW36" s="42"/>
      <c r="SX36" s="42"/>
      <c r="SY36" s="42"/>
      <c r="SZ36" s="42"/>
      <c r="TA36" s="42"/>
      <c r="TB36" s="42"/>
      <c r="TC36" s="42"/>
      <c r="TD36" s="42"/>
      <c r="TE36" s="42"/>
      <c r="TF36" s="42"/>
      <c r="TG36" s="42"/>
      <c r="TH36" s="42"/>
      <c r="TI36" s="42"/>
      <c r="TJ36" s="42"/>
      <c r="TK36" s="42"/>
      <c r="TL36" s="42"/>
      <c r="TM36" s="42"/>
      <c r="TN36" s="42"/>
      <c r="TO36" s="42"/>
      <c r="TP36" s="42"/>
      <c r="TQ36" s="42"/>
      <c r="TR36" s="42"/>
      <c r="TS36" s="42"/>
      <c r="TT36" s="42"/>
      <c r="TU36" s="42"/>
      <c r="TV36" s="42"/>
      <c r="TW36" s="42"/>
      <c r="TX36" s="42"/>
      <c r="TY36" s="42"/>
      <c r="TZ36" s="42"/>
      <c r="UA36" s="42"/>
      <c r="UB36" s="42"/>
      <c r="UC36" s="42"/>
      <c r="UD36" s="42"/>
      <c r="UE36" s="42"/>
      <c r="UF36" s="42"/>
      <c r="UG36" s="42"/>
      <c r="UH36" s="42"/>
      <c r="UI36" s="42"/>
      <c r="UJ36" s="42"/>
      <c r="UK36" s="42"/>
      <c r="UL36" s="42"/>
      <c r="UM36" s="42"/>
      <c r="UN36" s="42"/>
      <c r="UO36" s="42"/>
      <c r="UP36" s="42"/>
      <c r="UQ36" s="42"/>
      <c r="UR36" s="42"/>
      <c r="US36" s="42"/>
      <c r="UT36" s="42"/>
      <c r="UU36" s="42"/>
      <c r="UV36" s="42"/>
      <c r="UW36" s="42"/>
      <c r="UX36" s="42"/>
      <c r="UY36" s="42"/>
      <c r="UZ36" s="42"/>
      <c r="VA36" s="42"/>
      <c r="VB36" s="42"/>
      <c r="VC36" s="42"/>
      <c r="VD36" s="42"/>
      <c r="VE36" s="42"/>
      <c r="VF36" s="42"/>
      <c r="VG36" s="42"/>
      <c r="VH36" s="42"/>
      <c r="VI36" s="42"/>
      <c r="VJ36" s="42"/>
      <c r="VK36" s="42"/>
      <c r="VL36" s="42"/>
      <c r="VM36" s="42"/>
      <c r="VN36" s="42"/>
      <c r="VO36" s="42"/>
      <c r="VP36" s="42"/>
      <c r="VQ36" s="42"/>
      <c r="VR36" s="42"/>
      <c r="VS36" s="42"/>
      <c r="VT36" s="42"/>
      <c r="VU36" s="42"/>
      <c r="VV36" s="42"/>
      <c r="VW36" s="42"/>
      <c r="VX36" s="42"/>
      <c r="VY36" s="42"/>
      <c r="VZ36" s="42"/>
      <c r="WA36" s="42"/>
      <c r="WB36" s="42"/>
      <c r="WC36" s="42"/>
      <c r="WD36" s="42"/>
      <c r="WE36" s="42"/>
      <c r="WF36" s="42"/>
      <c r="WG36" s="42"/>
      <c r="WH36" s="42"/>
      <c r="WI36" s="42"/>
      <c r="WJ36" s="42"/>
      <c r="WK36" s="42"/>
      <c r="WL36" s="42"/>
      <c r="WM36" s="42"/>
      <c r="WN36" s="42"/>
      <c r="WO36" s="42"/>
      <c r="WP36" s="42"/>
      <c r="WQ36" s="42"/>
      <c r="WR36" s="42"/>
      <c r="WS36" s="42"/>
      <c r="WT36" s="42"/>
      <c r="WU36" s="42"/>
      <c r="WV36" s="42"/>
      <c r="WW36" s="42"/>
      <c r="WX36" s="42"/>
      <c r="WY36" s="42"/>
      <c r="WZ36" s="42"/>
      <c r="XA36" s="42"/>
      <c r="XB36" s="42"/>
      <c r="XC36" s="42"/>
      <c r="XD36" s="42"/>
      <c r="XE36" s="42"/>
      <c r="XF36" s="42"/>
      <c r="XG36" s="42"/>
      <c r="XH36" s="42"/>
      <c r="XI36" s="42"/>
      <c r="XJ36" s="42"/>
      <c r="XK36" s="42"/>
      <c r="XL36" s="42"/>
      <c r="XM36" s="42"/>
      <c r="XN36" s="42"/>
      <c r="XO36" s="42"/>
      <c r="XP36" s="42"/>
      <c r="XQ36" s="42"/>
      <c r="XR36" s="42"/>
      <c r="XS36" s="42"/>
      <c r="XT36" s="42"/>
      <c r="XU36" s="42"/>
      <c r="XV36" s="42"/>
      <c r="XW36" s="42"/>
      <c r="XX36" s="42"/>
      <c r="XY36" s="42"/>
      <c r="XZ36" s="42"/>
      <c r="YA36" s="42"/>
      <c r="YB36" s="42"/>
      <c r="YC36" s="42"/>
      <c r="YD36" s="42"/>
      <c r="YE36" s="42"/>
      <c r="YF36" s="42"/>
      <c r="YG36" s="42"/>
      <c r="YH36" s="42"/>
      <c r="YI36" s="42"/>
      <c r="YJ36" s="42"/>
      <c r="YK36" s="42"/>
      <c r="YL36" s="42"/>
      <c r="YM36" s="42"/>
      <c r="YN36" s="42"/>
      <c r="YO36" s="42"/>
      <c r="YP36" s="42"/>
      <c r="YQ36" s="42"/>
      <c r="YR36" s="42"/>
      <c r="YS36" s="42"/>
      <c r="YT36" s="42"/>
      <c r="YU36" s="42"/>
      <c r="YV36" s="42"/>
      <c r="YW36" s="42"/>
      <c r="YX36" s="42"/>
      <c r="YY36" s="42"/>
      <c r="YZ36" s="42"/>
      <c r="ZA36" s="42"/>
      <c r="ZB36" s="42"/>
      <c r="ZC36" s="42"/>
      <c r="ZD36" s="42"/>
      <c r="ZE36" s="42"/>
      <c r="ZF36" s="42"/>
      <c r="ZG36" s="42"/>
      <c r="ZH36" s="42"/>
      <c r="ZI36" s="42"/>
      <c r="ZJ36" s="42"/>
      <c r="ZK36" s="42"/>
      <c r="ZL36" s="42"/>
      <c r="ZM36" s="42"/>
      <c r="ZN36" s="42"/>
      <c r="ZO36" s="42"/>
      <c r="ZP36" s="42"/>
      <c r="ZQ36" s="42"/>
      <c r="ZR36" s="42"/>
      <c r="ZS36" s="42"/>
      <c r="ZT36" s="42"/>
      <c r="ZU36" s="42"/>
      <c r="ZV36" s="42"/>
      <c r="ZW36" s="42"/>
      <c r="ZX36" s="42"/>
      <c r="ZY36" s="42"/>
      <c r="ZZ36" s="42"/>
      <c r="AAA36" s="42"/>
      <c r="AAB36" s="42"/>
      <c r="AAC36" s="42"/>
      <c r="AAD36" s="42"/>
      <c r="AAE36" s="42"/>
      <c r="AAF36" s="42"/>
      <c r="AAG36" s="42"/>
      <c r="AAH36" s="42"/>
      <c r="AAI36" s="42"/>
      <c r="AAJ36" s="42"/>
      <c r="AAK36" s="42"/>
      <c r="AAL36" s="42"/>
      <c r="AAM36" s="42"/>
      <c r="AAN36" s="42"/>
      <c r="AAO36" s="42"/>
      <c r="AAP36" s="42"/>
      <c r="AAQ36" s="42"/>
      <c r="AAR36" s="42"/>
      <c r="AAS36" s="42"/>
      <c r="AAT36" s="42"/>
      <c r="AAU36" s="42"/>
      <c r="AAV36" s="42"/>
      <c r="AAW36" s="42"/>
      <c r="AAX36" s="42"/>
      <c r="AAY36" s="42"/>
      <c r="AAZ36" s="42"/>
      <c r="ABA36" s="42"/>
      <c r="ABB36" s="42"/>
      <c r="ABC36" s="42"/>
      <c r="ABD36" s="42"/>
      <c r="ABE36" s="42"/>
      <c r="ABF36" s="42"/>
      <c r="ABG36" s="42"/>
      <c r="ABH36" s="42"/>
      <c r="ABI36" s="42"/>
      <c r="ABJ36" s="42"/>
      <c r="ABK36" s="42"/>
      <c r="ABL36" s="42"/>
      <c r="ABM36" s="42"/>
      <c r="ABN36" s="42"/>
      <c r="ABO36" s="42"/>
      <c r="ABP36" s="42"/>
      <c r="ABQ36" s="42"/>
      <c r="ABR36" s="42"/>
      <c r="ABS36" s="42"/>
      <c r="ABT36" s="42"/>
      <c r="ABU36" s="42"/>
      <c r="ABV36" s="42"/>
      <c r="ABW36" s="42"/>
      <c r="ABX36" s="42"/>
      <c r="ABY36" s="42"/>
      <c r="ABZ36" s="42"/>
      <c r="ACA36" s="42"/>
      <c r="ACB36" s="42"/>
      <c r="ACC36" s="42"/>
      <c r="ACD36" s="42"/>
      <c r="ACE36" s="42"/>
      <c r="ACF36" s="42"/>
      <c r="ACG36" s="42"/>
      <c r="ACH36" s="42"/>
      <c r="ACI36" s="42"/>
      <c r="ACJ36" s="42"/>
      <c r="ACK36" s="42"/>
      <c r="ACL36" s="42"/>
      <c r="ACM36" s="42"/>
      <c r="ACN36" s="42"/>
      <c r="ACO36" s="42"/>
      <c r="ACP36" s="42"/>
      <c r="ACQ36" s="42"/>
      <c r="ACR36" s="42"/>
      <c r="ACS36" s="42"/>
      <c r="ACT36" s="42"/>
      <c r="ACU36" s="42"/>
      <c r="ACV36" s="42"/>
      <c r="ACW36" s="42"/>
      <c r="ACX36" s="42"/>
      <c r="ACY36" s="42"/>
      <c r="ACZ36" s="42"/>
      <c r="ADA36" s="42"/>
      <c r="ADB36" s="42"/>
      <c r="ADC36" s="42"/>
      <c r="ADD36" s="42"/>
      <c r="ADE36" s="42"/>
      <c r="ADF36" s="42"/>
      <c r="ADG36" s="42"/>
      <c r="ADH36" s="42"/>
      <c r="ADI36" s="42"/>
      <c r="ADJ36" s="42"/>
      <c r="ADK36" s="42"/>
      <c r="ADL36" s="42"/>
      <c r="ADM36" s="42"/>
      <c r="ADN36" s="42"/>
      <c r="ADO36" s="42"/>
      <c r="ADP36" s="42"/>
      <c r="ADQ36" s="42"/>
      <c r="ADR36" s="42"/>
      <c r="ADS36" s="42"/>
      <c r="ADT36" s="42"/>
      <c r="ADU36" s="42"/>
      <c r="ADV36" s="42"/>
      <c r="ADW36" s="42"/>
      <c r="ADX36" s="42"/>
      <c r="ADY36" s="42"/>
      <c r="ADZ36" s="42"/>
      <c r="AEA36" s="42"/>
      <c r="AEB36" s="42"/>
      <c r="AEC36" s="42"/>
      <c r="AED36" s="42"/>
      <c r="AEE36" s="42"/>
      <c r="AEF36" s="42"/>
      <c r="AEG36" s="42"/>
      <c r="AEH36" s="42"/>
      <c r="AEI36" s="42"/>
      <c r="AEJ36" s="42"/>
      <c r="AEK36" s="42"/>
      <c r="AEL36" s="42"/>
      <c r="AEM36" s="42"/>
      <c r="AEN36" s="42"/>
      <c r="AEO36" s="42"/>
      <c r="AEP36" s="42"/>
      <c r="AEQ36" s="42"/>
      <c r="AER36" s="42"/>
      <c r="AES36" s="42"/>
      <c r="AET36" s="42"/>
      <c r="AEU36" s="42"/>
      <c r="AEV36" s="42"/>
      <c r="AEW36" s="42"/>
      <c r="AEX36" s="42"/>
      <c r="AEY36" s="42"/>
      <c r="AEZ36" s="42"/>
      <c r="AFA36" s="42"/>
      <c r="AFB36" s="42"/>
      <c r="AFC36" s="42"/>
      <c r="AFD36" s="42"/>
      <c r="AFE36" s="42"/>
      <c r="AFF36" s="42"/>
      <c r="AFG36" s="42"/>
      <c r="AFH36" s="42"/>
      <c r="AFI36" s="42"/>
      <c r="AFJ36" s="42"/>
      <c r="AFK36" s="42"/>
      <c r="AFL36" s="42"/>
      <c r="AFM36" s="42"/>
      <c r="AFN36" s="42"/>
      <c r="AFO36" s="42"/>
      <c r="AFP36" s="42"/>
      <c r="AFQ36" s="42"/>
      <c r="AFR36" s="42"/>
      <c r="AFS36" s="42"/>
      <c r="AFT36" s="42"/>
      <c r="AFU36" s="42"/>
      <c r="AFV36" s="42"/>
      <c r="AFW36" s="42"/>
      <c r="AFX36" s="42"/>
      <c r="AFY36" s="42"/>
      <c r="AFZ36" s="42"/>
      <c r="AGA36" s="42"/>
      <c r="AGB36" s="42"/>
      <c r="AGC36" s="42"/>
      <c r="AGD36" s="42"/>
      <c r="AGE36" s="42"/>
      <c r="AGF36" s="42"/>
      <c r="AGG36" s="42"/>
      <c r="AGH36" s="42"/>
      <c r="AGI36" s="42"/>
      <c r="AGJ36" s="42"/>
      <c r="AGK36" s="42"/>
      <c r="AGL36" s="42"/>
      <c r="AGM36" s="42"/>
      <c r="AGN36" s="42"/>
      <c r="AGO36" s="42"/>
      <c r="AGP36" s="42"/>
      <c r="AGQ36" s="42"/>
      <c r="AGR36" s="42"/>
      <c r="AGS36" s="42"/>
      <c r="AGT36" s="42"/>
      <c r="AGU36" s="42"/>
      <c r="AGV36" s="42"/>
      <c r="AGW36" s="42"/>
      <c r="AGX36" s="42"/>
      <c r="AGY36" s="42"/>
      <c r="AGZ36" s="42"/>
      <c r="AHA36" s="42"/>
      <c r="AHB36" s="42"/>
      <c r="AHC36" s="42"/>
      <c r="AHD36" s="42"/>
      <c r="AHE36" s="42"/>
      <c r="AHF36" s="42"/>
      <c r="AHG36" s="42"/>
      <c r="AHH36" s="42"/>
      <c r="AHI36" s="42"/>
      <c r="AHJ36" s="42"/>
      <c r="AHK36" s="42"/>
      <c r="AHL36" s="42"/>
      <c r="AHM36" s="42"/>
      <c r="AHN36" s="42"/>
      <c r="AHO36" s="42"/>
      <c r="AHP36" s="42"/>
      <c r="AHQ36" s="42"/>
      <c r="AHR36" s="42"/>
      <c r="AHS36" s="42"/>
      <c r="AHT36" s="42"/>
      <c r="AHU36" s="42"/>
      <c r="AHV36" s="42"/>
      <c r="AHW36" s="42"/>
      <c r="AHX36" s="42"/>
      <c r="AHY36" s="42"/>
      <c r="AHZ36" s="42"/>
      <c r="AIA36" s="42"/>
      <c r="AIB36" s="42"/>
      <c r="AIC36" s="42"/>
      <c r="AID36" s="42"/>
      <c r="AIE36" s="42"/>
      <c r="AIF36" s="42"/>
      <c r="AIG36" s="42"/>
      <c r="AIH36" s="42"/>
      <c r="AII36" s="42"/>
      <c r="AIJ36" s="42"/>
      <c r="AIK36" s="42"/>
      <c r="AIL36" s="42"/>
      <c r="AIM36" s="42"/>
      <c r="AIN36" s="42"/>
      <c r="AIO36" s="42"/>
      <c r="AIP36" s="42"/>
      <c r="AIQ36" s="42"/>
      <c r="AIR36" s="42"/>
      <c r="AIS36" s="42"/>
      <c r="AIT36" s="42"/>
      <c r="AIU36" s="42"/>
      <c r="AIV36" s="42"/>
      <c r="AIW36" s="42"/>
      <c r="AIX36" s="42"/>
      <c r="AIY36" s="42"/>
      <c r="AIZ36" s="42"/>
      <c r="AJA36" s="42"/>
      <c r="AJB36" s="42"/>
      <c r="AJC36" s="42"/>
      <c r="AJD36" s="42"/>
      <c r="AJE36" s="42"/>
      <c r="AJF36" s="42"/>
      <c r="AJG36" s="42"/>
      <c r="AJH36" s="42"/>
      <c r="AJI36" s="42"/>
      <c r="AJJ36" s="42"/>
      <c r="AJK36" s="42"/>
      <c r="AJL36" s="42"/>
      <c r="AJM36" s="42"/>
      <c r="AJN36" s="42"/>
      <c r="AJO36" s="42"/>
      <c r="AJP36" s="42"/>
      <c r="AJQ36" s="42"/>
      <c r="AJR36" s="42"/>
      <c r="AJS36" s="42"/>
      <c r="AJT36" s="42"/>
      <c r="AJU36" s="42"/>
      <c r="AJV36" s="42"/>
      <c r="AJW36" s="42"/>
      <c r="AJX36" s="42"/>
      <c r="AJY36" s="42"/>
      <c r="AJZ36" s="42"/>
      <c r="AKA36" s="42"/>
      <c r="AKB36" s="42"/>
      <c r="AKC36" s="42"/>
      <c r="AKD36" s="42"/>
      <c r="AKE36" s="42"/>
      <c r="AKF36" s="42"/>
      <c r="AKG36" s="42"/>
      <c r="AKH36" s="42"/>
      <c r="AKI36" s="42"/>
      <c r="AKJ36" s="42"/>
      <c r="AKK36" s="42"/>
      <c r="AKL36" s="42"/>
      <c r="AKM36" s="42"/>
      <c r="AKN36" s="42"/>
      <c r="AKO36" s="42"/>
      <c r="AKP36" s="42"/>
      <c r="AKQ36" s="42"/>
      <c r="AKR36" s="42"/>
      <c r="AKS36" s="42"/>
      <c r="AKT36" s="42"/>
      <c r="AKU36" s="42"/>
      <c r="AKV36" s="42"/>
      <c r="AKW36" s="42"/>
      <c r="AKX36" s="42"/>
      <c r="AKY36" s="42"/>
      <c r="AKZ36" s="42"/>
      <c r="ALA36" s="42"/>
      <c r="ALB36" s="42"/>
      <c r="ALC36" s="42"/>
      <c r="ALD36" s="42"/>
      <c r="ALE36" s="42"/>
      <c r="ALF36" s="42"/>
      <c r="ALG36" s="42"/>
      <c r="ALH36" s="42"/>
      <c r="ALI36" s="42"/>
      <c r="ALJ36" s="42"/>
      <c r="ALK36" s="42"/>
      <c r="ALL36" s="42"/>
      <c r="ALM36" s="42"/>
      <c r="ALN36" s="42"/>
      <c r="ALO36" s="42"/>
      <c r="ALP36" s="42"/>
      <c r="ALQ36" s="42"/>
      <c r="ALR36" s="42"/>
      <c r="ALS36" s="42"/>
      <c r="ALT36" s="42"/>
      <c r="ALU36" s="42"/>
      <c r="ALV36" s="42"/>
      <c r="ALW36" s="42"/>
      <c r="ALX36" s="42"/>
      <c r="ALY36" s="42"/>
      <c r="ALZ36" s="42"/>
      <c r="AMA36" s="42"/>
      <c r="AMB36" s="42"/>
      <c r="AMC36" s="42"/>
      <c r="AMD36" s="42"/>
      <c r="AME36" s="42"/>
    </row>
    <row r="37" spans="1:1019" customFormat="1" x14ac:dyDescent="0.25">
      <c r="A37" s="57"/>
      <c r="B37" s="55"/>
      <c r="C37" s="128"/>
      <c r="D37" s="145"/>
      <c r="E37" s="76"/>
      <c r="F37" s="5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  <c r="NC37" s="42"/>
      <c r="ND37" s="42"/>
      <c r="NE37" s="42"/>
      <c r="NF37" s="42"/>
      <c r="NG37" s="42"/>
      <c r="NH37" s="42"/>
      <c r="NI37" s="42"/>
      <c r="NJ37" s="42"/>
      <c r="NK37" s="42"/>
      <c r="NL37" s="42"/>
      <c r="NM37" s="42"/>
      <c r="NN37" s="42"/>
      <c r="NO37" s="42"/>
      <c r="NP37" s="42"/>
      <c r="NQ37" s="42"/>
      <c r="NR37" s="42"/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2"/>
      <c r="OD37" s="42"/>
      <c r="OE37" s="42"/>
      <c r="OF37" s="42"/>
      <c r="OG37" s="42"/>
      <c r="OH37" s="42"/>
      <c r="OI37" s="42"/>
      <c r="OJ37" s="42"/>
      <c r="OK37" s="42"/>
      <c r="OL37" s="42"/>
      <c r="OM37" s="42"/>
      <c r="ON37" s="42"/>
      <c r="OO37" s="42"/>
      <c r="OP37" s="42"/>
      <c r="OQ37" s="42"/>
      <c r="OR37" s="42"/>
      <c r="OS37" s="42"/>
      <c r="OT37" s="42"/>
      <c r="OU37" s="42"/>
      <c r="OV37" s="42"/>
      <c r="OW37" s="42"/>
      <c r="OX37" s="42"/>
      <c r="OY37" s="42"/>
      <c r="OZ37" s="42"/>
      <c r="PA37" s="42"/>
      <c r="PB37" s="42"/>
      <c r="PC37" s="42"/>
      <c r="PD37" s="42"/>
      <c r="PE37" s="42"/>
      <c r="PF37" s="42"/>
      <c r="PG37" s="42"/>
      <c r="PH37" s="42"/>
      <c r="PI37" s="42"/>
      <c r="PJ37" s="42"/>
      <c r="PK37" s="42"/>
      <c r="PL37" s="42"/>
      <c r="PM37" s="42"/>
      <c r="PN37" s="42"/>
      <c r="PO37" s="42"/>
      <c r="PP37" s="42"/>
      <c r="PQ37" s="42"/>
      <c r="PR37" s="42"/>
      <c r="PS37" s="42"/>
      <c r="PT37" s="42"/>
      <c r="PU37" s="42"/>
      <c r="PV37" s="42"/>
      <c r="PW37" s="42"/>
      <c r="PX37" s="42"/>
      <c r="PY37" s="42"/>
      <c r="PZ37" s="42"/>
      <c r="QA37" s="42"/>
      <c r="QB37" s="42"/>
      <c r="QC37" s="42"/>
      <c r="QD37" s="42"/>
      <c r="QE37" s="42"/>
      <c r="QF37" s="42"/>
      <c r="QG37" s="42"/>
      <c r="QH37" s="42"/>
      <c r="QI37" s="42"/>
      <c r="QJ37" s="42"/>
      <c r="QK37" s="42"/>
      <c r="QL37" s="42"/>
      <c r="QM37" s="42"/>
      <c r="QN37" s="42"/>
      <c r="QO37" s="42"/>
      <c r="QP37" s="42"/>
      <c r="QQ37" s="42"/>
      <c r="QR37" s="42"/>
      <c r="QS37" s="42"/>
      <c r="QT37" s="42"/>
      <c r="QU37" s="42"/>
      <c r="QV37" s="42"/>
      <c r="QW37" s="42"/>
      <c r="QX37" s="42"/>
      <c r="QY37" s="42"/>
      <c r="QZ37" s="42"/>
      <c r="RA37" s="42"/>
      <c r="RB37" s="42"/>
      <c r="RC37" s="42"/>
      <c r="RD37" s="42"/>
      <c r="RE37" s="42"/>
      <c r="RF37" s="42"/>
      <c r="RG37" s="42"/>
      <c r="RH37" s="42"/>
      <c r="RI37" s="42"/>
      <c r="RJ37" s="42"/>
      <c r="RK37" s="42"/>
      <c r="RL37" s="42"/>
      <c r="RM37" s="42"/>
      <c r="RN37" s="42"/>
      <c r="RO37" s="42"/>
      <c r="RP37" s="42"/>
      <c r="RQ37" s="42"/>
      <c r="RR37" s="42"/>
      <c r="RS37" s="42"/>
      <c r="RT37" s="42"/>
      <c r="RU37" s="42"/>
      <c r="RV37" s="42"/>
      <c r="RW37" s="42"/>
      <c r="RX37" s="42"/>
      <c r="RY37" s="42"/>
      <c r="RZ37" s="42"/>
      <c r="SA37" s="42"/>
      <c r="SB37" s="42"/>
      <c r="SC37" s="42"/>
      <c r="SD37" s="42"/>
      <c r="SE37" s="42"/>
      <c r="SF37" s="42"/>
      <c r="SG37" s="42"/>
      <c r="SH37" s="42"/>
      <c r="SI37" s="42"/>
      <c r="SJ37" s="42"/>
      <c r="SK37" s="42"/>
      <c r="SL37" s="42"/>
      <c r="SM37" s="42"/>
      <c r="SN37" s="42"/>
      <c r="SO37" s="42"/>
      <c r="SP37" s="42"/>
      <c r="SQ37" s="42"/>
      <c r="SR37" s="42"/>
      <c r="SS37" s="42"/>
      <c r="ST37" s="42"/>
      <c r="SU37" s="42"/>
      <c r="SV37" s="42"/>
      <c r="SW37" s="42"/>
      <c r="SX37" s="42"/>
      <c r="SY37" s="42"/>
      <c r="SZ37" s="42"/>
      <c r="TA37" s="42"/>
      <c r="TB37" s="42"/>
      <c r="TC37" s="42"/>
      <c r="TD37" s="42"/>
      <c r="TE37" s="42"/>
      <c r="TF37" s="42"/>
      <c r="TG37" s="42"/>
      <c r="TH37" s="42"/>
      <c r="TI37" s="42"/>
      <c r="TJ37" s="42"/>
      <c r="TK37" s="42"/>
      <c r="TL37" s="42"/>
      <c r="TM37" s="42"/>
      <c r="TN37" s="42"/>
      <c r="TO37" s="42"/>
      <c r="TP37" s="42"/>
      <c r="TQ37" s="42"/>
      <c r="TR37" s="42"/>
      <c r="TS37" s="42"/>
      <c r="TT37" s="42"/>
      <c r="TU37" s="42"/>
      <c r="TV37" s="42"/>
      <c r="TW37" s="42"/>
      <c r="TX37" s="42"/>
      <c r="TY37" s="42"/>
      <c r="TZ37" s="42"/>
      <c r="UA37" s="42"/>
      <c r="UB37" s="42"/>
      <c r="UC37" s="42"/>
      <c r="UD37" s="42"/>
      <c r="UE37" s="42"/>
      <c r="UF37" s="42"/>
      <c r="UG37" s="42"/>
      <c r="UH37" s="42"/>
      <c r="UI37" s="42"/>
      <c r="UJ37" s="42"/>
      <c r="UK37" s="42"/>
      <c r="UL37" s="42"/>
      <c r="UM37" s="42"/>
      <c r="UN37" s="42"/>
      <c r="UO37" s="42"/>
      <c r="UP37" s="42"/>
      <c r="UQ37" s="42"/>
      <c r="UR37" s="42"/>
      <c r="US37" s="42"/>
      <c r="UT37" s="42"/>
      <c r="UU37" s="42"/>
      <c r="UV37" s="42"/>
      <c r="UW37" s="42"/>
      <c r="UX37" s="42"/>
      <c r="UY37" s="42"/>
      <c r="UZ37" s="42"/>
      <c r="VA37" s="42"/>
      <c r="VB37" s="42"/>
      <c r="VC37" s="42"/>
      <c r="VD37" s="42"/>
      <c r="VE37" s="42"/>
      <c r="VF37" s="42"/>
      <c r="VG37" s="42"/>
      <c r="VH37" s="42"/>
      <c r="VI37" s="42"/>
      <c r="VJ37" s="42"/>
      <c r="VK37" s="42"/>
      <c r="VL37" s="42"/>
      <c r="VM37" s="42"/>
      <c r="VN37" s="42"/>
      <c r="VO37" s="42"/>
      <c r="VP37" s="42"/>
      <c r="VQ37" s="42"/>
      <c r="VR37" s="42"/>
      <c r="VS37" s="42"/>
      <c r="VT37" s="42"/>
      <c r="VU37" s="42"/>
      <c r="VV37" s="42"/>
      <c r="VW37" s="42"/>
      <c r="VX37" s="42"/>
      <c r="VY37" s="42"/>
      <c r="VZ37" s="42"/>
      <c r="WA37" s="42"/>
      <c r="WB37" s="42"/>
      <c r="WC37" s="42"/>
      <c r="WD37" s="42"/>
      <c r="WE37" s="42"/>
      <c r="WF37" s="42"/>
      <c r="WG37" s="42"/>
      <c r="WH37" s="42"/>
      <c r="WI37" s="42"/>
      <c r="WJ37" s="42"/>
      <c r="WK37" s="42"/>
      <c r="WL37" s="42"/>
      <c r="WM37" s="42"/>
      <c r="WN37" s="42"/>
      <c r="WO37" s="42"/>
      <c r="WP37" s="42"/>
      <c r="WQ37" s="42"/>
      <c r="WR37" s="42"/>
      <c r="WS37" s="42"/>
      <c r="WT37" s="42"/>
      <c r="WU37" s="42"/>
      <c r="WV37" s="42"/>
      <c r="WW37" s="42"/>
      <c r="WX37" s="42"/>
      <c r="WY37" s="42"/>
      <c r="WZ37" s="42"/>
      <c r="XA37" s="42"/>
      <c r="XB37" s="42"/>
      <c r="XC37" s="42"/>
      <c r="XD37" s="42"/>
      <c r="XE37" s="42"/>
      <c r="XF37" s="42"/>
      <c r="XG37" s="42"/>
      <c r="XH37" s="42"/>
      <c r="XI37" s="42"/>
      <c r="XJ37" s="42"/>
      <c r="XK37" s="42"/>
      <c r="XL37" s="42"/>
      <c r="XM37" s="42"/>
      <c r="XN37" s="42"/>
      <c r="XO37" s="42"/>
      <c r="XP37" s="42"/>
      <c r="XQ37" s="42"/>
      <c r="XR37" s="42"/>
      <c r="XS37" s="42"/>
      <c r="XT37" s="42"/>
      <c r="XU37" s="42"/>
      <c r="XV37" s="42"/>
      <c r="XW37" s="42"/>
      <c r="XX37" s="42"/>
      <c r="XY37" s="42"/>
      <c r="XZ37" s="42"/>
      <c r="YA37" s="42"/>
      <c r="YB37" s="42"/>
      <c r="YC37" s="42"/>
      <c r="YD37" s="42"/>
      <c r="YE37" s="42"/>
      <c r="YF37" s="42"/>
      <c r="YG37" s="42"/>
      <c r="YH37" s="42"/>
      <c r="YI37" s="42"/>
      <c r="YJ37" s="42"/>
      <c r="YK37" s="42"/>
      <c r="YL37" s="42"/>
      <c r="YM37" s="42"/>
      <c r="YN37" s="42"/>
      <c r="YO37" s="42"/>
      <c r="YP37" s="42"/>
      <c r="YQ37" s="42"/>
      <c r="YR37" s="42"/>
      <c r="YS37" s="42"/>
      <c r="YT37" s="42"/>
      <c r="YU37" s="42"/>
      <c r="YV37" s="42"/>
      <c r="YW37" s="42"/>
      <c r="YX37" s="42"/>
      <c r="YY37" s="42"/>
      <c r="YZ37" s="42"/>
      <c r="ZA37" s="42"/>
      <c r="ZB37" s="42"/>
      <c r="ZC37" s="42"/>
      <c r="ZD37" s="42"/>
      <c r="ZE37" s="42"/>
      <c r="ZF37" s="42"/>
      <c r="ZG37" s="42"/>
      <c r="ZH37" s="42"/>
      <c r="ZI37" s="42"/>
      <c r="ZJ37" s="42"/>
      <c r="ZK37" s="42"/>
      <c r="ZL37" s="42"/>
      <c r="ZM37" s="42"/>
      <c r="ZN37" s="42"/>
      <c r="ZO37" s="42"/>
      <c r="ZP37" s="42"/>
      <c r="ZQ37" s="42"/>
      <c r="ZR37" s="42"/>
      <c r="ZS37" s="42"/>
      <c r="ZT37" s="42"/>
      <c r="ZU37" s="42"/>
      <c r="ZV37" s="42"/>
      <c r="ZW37" s="42"/>
      <c r="ZX37" s="42"/>
      <c r="ZY37" s="42"/>
      <c r="ZZ37" s="42"/>
      <c r="AAA37" s="42"/>
      <c r="AAB37" s="42"/>
      <c r="AAC37" s="42"/>
      <c r="AAD37" s="42"/>
      <c r="AAE37" s="42"/>
      <c r="AAF37" s="42"/>
      <c r="AAG37" s="42"/>
      <c r="AAH37" s="42"/>
      <c r="AAI37" s="42"/>
      <c r="AAJ37" s="42"/>
      <c r="AAK37" s="42"/>
      <c r="AAL37" s="42"/>
      <c r="AAM37" s="42"/>
      <c r="AAN37" s="42"/>
      <c r="AAO37" s="42"/>
      <c r="AAP37" s="42"/>
      <c r="AAQ37" s="42"/>
      <c r="AAR37" s="42"/>
      <c r="AAS37" s="42"/>
      <c r="AAT37" s="42"/>
      <c r="AAU37" s="42"/>
      <c r="AAV37" s="42"/>
      <c r="AAW37" s="42"/>
      <c r="AAX37" s="42"/>
      <c r="AAY37" s="42"/>
      <c r="AAZ37" s="42"/>
      <c r="ABA37" s="42"/>
      <c r="ABB37" s="42"/>
      <c r="ABC37" s="42"/>
      <c r="ABD37" s="42"/>
      <c r="ABE37" s="42"/>
      <c r="ABF37" s="42"/>
      <c r="ABG37" s="42"/>
      <c r="ABH37" s="42"/>
      <c r="ABI37" s="42"/>
      <c r="ABJ37" s="42"/>
      <c r="ABK37" s="42"/>
      <c r="ABL37" s="42"/>
      <c r="ABM37" s="42"/>
      <c r="ABN37" s="42"/>
      <c r="ABO37" s="42"/>
      <c r="ABP37" s="42"/>
      <c r="ABQ37" s="42"/>
      <c r="ABR37" s="42"/>
      <c r="ABS37" s="42"/>
      <c r="ABT37" s="42"/>
      <c r="ABU37" s="42"/>
      <c r="ABV37" s="42"/>
      <c r="ABW37" s="42"/>
      <c r="ABX37" s="42"/>
      <c r="ABY37" s="42"/>
      <c r="ABZ37" s="42"/>
      <c r="ACA37" s="42"/>
      <c r="ACB37" s="42"/>
      <c r="ACC37" s="42"/>
      <c r="ACD37" s="42"/>
      <c r="ACE37" s="42"/>
      <c r="ACF37" s="42"/>
      <c r="ACG37" s="42"/>
      <c r="ACH37" s="42"/>
      <c r="ACI37" s="42"/>
      <c r="ACJ37" s="42"/>
      <c r="ACK37" s="42"/>
      <c r="ACL37" s="42"/>
      <c r="ACM37" s="42"/>
      <c r="ACN37" s="42"/>
      <c r="ACO37" s="42"/>
      <c r="ACP37" s="42"/>
      <c r="ACQ37" s="42"/>
      <c r="ACR37" s="42"/>
      <c r="ACS37" s="42"/>
      <c r="ACT37" s="42"/>
      <c r="ACU37" s="42"/>
      <c r="ACV37" s="42"/>
      <c r="ACW37" s="42"/>
      <c r="ACX37" s="42"/>
      <c r="ACY37" s="42"/>
      <c r="ACZ37" s="42"/>
      <c r="ADA37" s="42"/>
      <c r="ADB37" s="42"/>
      <c r="ADC37" s="42"/>
      <c r="ADD37" s="42"/>
      <c r="ADE37" s="42"/>
      <c r="ADF37" s="42"/>
      <c r="ADG37" s="42"/>
      <c r="ADH37" s="42"/>
      <c r="ADI37" s="42"/>
      <c r="ADJ37" s="42"/>
      <c r="ADK37" s="42"/>
      <c r="ADL37" s="42"/>
      <c r="ADM37" s="42"/>
      <c r="ADN37" s="42"/>
      <c r="ADO37" s="42"/>
      <c r="ADP37" s="42"/>
      <c r="ADQ37" s="42"/>
      <c r="ADR37" s="42"/>
      <c r="ADS37" s="42"/>
      <c r="ADT37" s="42"/>
      <c r="ADU37" s="42"/>
      <c r="ADV37" s="42"/>
      <c r="ADW37" s="42"/>
      <c r="ADX37" s="42"/>
      <c r="ADY37" s="42"/>
      <c r="ADZ37" s="42"/>
      <c r="AEA37" s="42"/>
      <c r="AEB37" s="42"/>
      <c r="AEC37" s="42"/>
      <c r="AED37" s="42"/>
      <c r="AEE37" s="42"/>
      <c r="AEF37" s="42"/>
      <c r="AEG37" s="42"/>
      <c r="AEH37" s="42"/>
      <c r="AEI37" s="42"/>
      <c r="AEJ37" s="42"/>
      <c r="AEK37" s="42"/>
      <c r="AEL37" s="42"/>
      <c r="AEM37" s="42"/>
      <c r="AEN37" s="42"/>
      <c r="AEO37" s="42"/>
      <c r="AEP37" s="42"/>
      <c r="AEQ37" s="42"/>
      <c r="AER37" s="42"/>
      <c r="AES37" s="42"/>
      <c r="AET37" s="42"/>
      <c r="AEU37" s="42"/>
      <c r="AEV37" s="42"/>
      <c r="AEW37" s="42"/>
      <c r="AEX37" s="42"/>
      <c r="AEY37" s="42"/>
      <c r="AEZ37" s="42"/>
      <c r="AFA37" s="42"/>
      <c r="AFB37" s="42"/>
      <c r="AFC37" s="42"/>
      <c r="AFD37" s="42"/>
      <c r="AFE37" s="42"/>
      <c r="AFF37" s="42"/>
      <c r="AFG37" s="42"/>
      <c r="AFH37" s="42"/>
      <c r="AFI37" s="42"/>
      <c r="AFJ37" s="42"/>
      <c r="AFK37" s="42"/>
      <c r="AFL37" s="42"/>
      <c r="AFM37" s="42"/>
      <c r="AFN37" s="42"/>
      <c r="AFO37" s="42"/>
      <c r="AFP37" s="42"/>
      <c r="AFQ37" s="42"/>
      <c r="AFR37" s="42"/>
      <c r="AFS37" s="42"/>
      <c r="AFT37" s="42"/>
      <c r="AFU37" s="42"/>
      <c r="AFV37" s="42"/>
      <c r="AFW37" s="42"/>
      <c r="AFX37" s="42"/>
      <c r="AFY37" s="42"/>
      <c r="AFZ37" s="42"/>
      <c r="AGA37" s="42"/>
      <c r="AGB37" s="42"/>
      <c r="AGC37" s="42"/>
      <c r="AGD37" s="42"/>
      <c r="AGE37" s="42"/>
      <c r="AGF37" s="42"/>
      <c r="AGG37" s="42"/>
      <c r="AGH37" s="42"/>
      <c r="AGI37" s="42"/>
      <c r="AGJ37" s="42"/>
      <c r="AGK37" s="42"/>
      <c r="AGL37" s="42"/>
      <c r="AGM37" s="42"/>
      <c r="AGN37" s="42"/>
      <c r="AGO37" s="42"/>
      <c r="AGP37" s="42"/>
      <c r="AGQ37" s="42"/>
      <c r="AGR37" s="42"/>
      <c r="AGS37" s="42"/>
      <c r="AGT37" s="42"/>
      <c r="AGU37" s="42"/>
      <c r="AGV37" s="42"/>
      <c r="AGW37" s="42"/>
      <c r="AGX37" s="42"/>
      <c r="AGY37" s="42"/>
      <c r="AGZ37" s="42"/>
      <c r="AHA37" s="42"/>
      <c r="AHB37" s="42"/>
      <c r="AHC37" s="42"/>
      <c r="AHD37" s="42"/>
      <c r="AHE37" s="42"/>
      <c r="AHF37" s="42"/>
      <c r="AHG37" s="42"/>
      <c r="AHH37" s="42"/>
      <c r="AHI37" s="42"/>
      <c r="AHJ37" s="42"/>
      <c r="AHK37" s="42"/>
      <c r="AHL37" s="42"/>
      <c r="AHM37" s="42"/>
      <c r="AHN37" s="42"/>
      <c r="AHO37" s="42"/>
      <c r="AHP37" s="42"/>
      <c r="AHQ37" s="42"/>
      <c r="AHR37" s="42"/>
      <c r="AHS37" s="42"/>
      <c r="AHT37" s="42"/>
      <c r="AHU37" s="42"/>
      <c r="AHV37" s="42"/>
      <c r="AHW37" s="42"/>
      <c r="AHX37" s="42"/>
      <c r="AHY37" s="42"/>
      <c r="AHZ37" s="42"/>
      <c r="AIA37" s="42"/>
      <c r="AIB37" s="42"/>
      <c r="AIC37" s="42"/>
      <c r="AID37" s="42"/>
      <c r="AIE37" s="42"/>
      <c r="AIF37" s="42"/>
      <c r="AIG37" s="42"/>
      <c r="AIH37" s="42"/>
      <c r="AII37" s="42"/>
      <c r="AIJ37" s="42"/>
      <c r="AIK37" s="42"/>
      <c r="AIL37" s="42"/>
      <c r="AIM37" s="42"/>
      <c r="AIN37" s="42"/>
      <c r="AIO37" s="42"/>
      <c r="AIP37" s="42"/>
      <c r="AIQ37" s="42"/>
      <c r="AIR37" s="42"/>
      <c r="AIS37" s="42"/>
      <c r="AIT37" s="42"/>
      <c r="AIU37" s="42"/>
      <c r="AIV37" s="42"/>
      <c r="AIW37" s="42"/>
      <c r="AIX37" s="42"/>
      <c r="AIY37" s="42"/>
      <c r="AIZ37" s="42"/>
      <c r="AJA37" s="42"/>
      <c r="AJB37" s="42"/>
      <c r="AJC37" s="42"/>
      <c r="AJD37" s="42"/>
      <c r="AJE37" s="42"/>
      <c r="AJF37" s="42"/>
      <c r="AJG37" s="42"/>
      <c r="AJH37" s="42"/>
      <c r="AJI37" s="42"/>
      <c r="AJJ37" s="42"/>
      <c r="AJK37" s="42"/>
      <c r="AJL37" s="42"/>
      <c r="AJM37" s="42"/>
      <c r="AJN37" s="42"/>
      <c r="AJO37" s="42"/>
      <c r="AJP37" s="42"/>
      <c r="AJQ37" s="42"/>
      <c r="AJR37" s="42"/>
      <c r="AJS37" s="42"/>
      <c r="AJT37" s="42"/>
      <c r="AJU37" s="42"/>
      <c r="AJV37" s="42"/>
      <c r="AJW37" s="42"/>
      <c r="AJX37" s="42"/>
      <c r="AJY37" s="42"/>
      <c r="AJZ37" s="42"/>
      <c r="AKA37" s="42"/>
      <c r="AKB37" s="42"/>
      <c r="AKC37" s="42"/>
      <c r="AKD37" s="42"/>
      <c r="AKE37" s="42"/>
      <c r="AKF37" s="42"/>
      <c r="AKG37" s="42"/>
      <c r="AKH37" s="42"/>
      <c r="AKI37" s="42"/>
      <c r="AKJ37" s="42"/>
      <c r="AKK37" s="42"/>
      <c r="AKL37" s="42"/>
      <c r="AKM37" s="42"/>
      <c r="AKN37" s="42"/>
      <c r="AKO37" s="42"/>
      <c r="AKP37" s="42"/>
      <c r="AKQ37" s="42"/>
      <c r="AKR37" s="42"/>
      <c r="AKS37" s="42"/>
      <c r="AKT37" s="42"/>
      <c r="AKU37" s="42"/>
      <c r="AKV37" s="42"/>
      <c r="AKW37" s="42"/>
      <c r="AKX37" s="42"/>
      <c r="AKY37" s="42"/>
      <c r="AKZ37" s="42"/>
      <c r="ALA37" s="42"/>
      <c r="ALB37" s="42"/>
      <c r="ALC37" s="42"/>
      <c r="ALD37" s="42"/>
      <c r="ALE37" s="42"/>
      <c r="ALF37" s="42"/>
      <c r="ALG37" s="42"/>
      <c r="ALH37" s="42"/>
      <c r="ALI37" s="42"/>
      <c r="ALJ37" s="42"/>
      <c r="ALK37" s="42"/>
      <c r="ALL37" s="42"/>
      <c r="ALM37" s="42"/>
      <c r="ALN37" s="42"/>
      <c r="ALO37" s="42"/>
      <c r="ALP37" s="42"/>
      <c r="ALQ37" s="42"/>
      <c r="ALR37" s="42"/>
      <c r="ALS37" s="42"/>
      <c r="ALT37" s="42"/>
      <c r="ALU37" s="42"/>
      <c r="ALV37" s="42"/>
      <c r="ALW37" s="42"/>
      <c r="ALX37" s="42"/>
      <c r="ALY37" s="42"/>
      <c r="ALZ37" s="42"/>
      <c r="AMA37" s="42"/>
      <c r="AMB37" s="42"/>
      <c r="AMC37" s="42"/>
      <c r="AMD37" s="42"/>
      <c r="AME37" s="42"/>
    </row>
    <row r="38" spans="1:1019" customFormat="1" x14ac:dyDescent="0.25">
      <c r="A38" s="57"/>
      <c r="B38" s="55" t="s">
        <v>322</v>
      </c>
      <c r="C38" s="128">
        <v>15.391</v>
      </c>
      <c r="D38" s="145" t="s">
        <v>41</v>
      </c>
      <c r="E38" s="76">
        <v>750</v>
      </c>
      <c r="F38" s="53">
        <f>IF(C38&gt;0,C38*E38,"")</f>
        <v>11543.25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2"/>
      <c r="QK38" s="42"/>
      <c r="QL38" s="42"/>
      <c r="QM38" s="42"/>
      <c r="QN38" s="42"/>
      <c r="QO38" s="42"/>
      <c r="QP38" s="42"/>
      <c r="QQ38" s="42"/>
      <c r="QR38" s="42"/>
      <c r="QS38" s="42"/>
      <c r="QT38" s="42"/>
      <c r="QU38" s="42"/>
      <c r="QV38" s="42"/>
      <c r="QW38" s="42"/>
      <c r="QX38" s="42"/>
      <c r="QY38" s="42"/>
      <c r="QZ38" s="42"/>
      <c r="RA38" s="42"/>
      <c r="RB38" s="42"/>
      <c r="RC38" s="42"/>
      <c r="RD38" s="42"/>
      <c r="RE38" s="42"/>
      <c r="RF38" s="42"/>
      <c r="RG38" s="42"/>
      <c r="RH38" s="42"/>
      <c r="RI38" s="42"/>
      <c r="RJ38" s="42"/>
      <c r="RK38" s="42"/>
      <c r="RL38" s="42"/>
      <c r="RM38" s="42"/>
      <c r="RN38" s="42"/>
      <c r="RO38" s="42"/>
      <c r="RP38" s="42"/>
      <c r="RQ38" s="42"/>
      <c r="RR38" s="42"/>
      <c r="RS38" s="42"/>
      <c r="RT38" s="42"/>
      <c r="RU38" s="42"/>
      <c r="RV38" s="42"/>
      <c r="RW38" s="42"/>
      <c r="RX38" s="42"/>
      <c r="RY38" s="42"/>
      <c r="RZ38" s="42"/>
      <c r="SA38" s="42"/>
      <c r="SB38" s="42"/>
      <c r="SC38" s="42"/>
      <c r="SD38" s="42"/>
      <c r="SE38" s="42"/>
      <c r="SF38" s="42"/>
      <c r="SG38" s="42"/>
      <c r="SH38" s="42"/>
      <c r="SI38" s="42"/>
      <c r="SJ38" s="42"/>
      <c r="SK38" s="42"/>
      <c r="SL38" s="42"/>
      <c r="SM38" s="42"/>
      <c r="SN38" s="42"/>
      <c r="SO38" s="42"/>
      <c r="SP38" s="42"/>
      <c r="SQ38" s="42"/>
      <c r="SR38" s="42"/>
      <c r="SS38" s="42"/>
      <c r="ST38" s="42"/>
      <c r="SU38" s="42"/>
      <c r="SV38" s="42"/>
      <c r="SW38" s="42"/>
      <c r="SX38" s="42"/>
      <c r="SY38" s="42"/>
      <c r="SZ38" s="42"/>
      <c r="TA38" s="42"/>
      <c r="TB38" s="42"/>
      <c r="TC38" s="42"/>
      <c r="TD38" s="42"/>
      <c r="TE38" s="42"/>
      <c r="TF38" s="42"/>
      <c r="TG38" s="42"/>
      <c r="TH38" s="42"/>
      <c r="TI38" s="42"/>
      <c r="TJ38" s="42"/>
      <c r="TK38" s="42"/>
      <c r="TL38" s="42"/>
      <c r="TM38" s="42"/>
      <c r="TN38" s="42"/>
      <c r="TO38" s="42"/>
      <c r="TP38" s="42"/>
      <c r="TQ38" s="42"/>
      <c r="TR38" s="42"/>
      <c r="TS38" s="42"/>
      <c r="TT38" s="42"/>
      <c r="TU38" s="42"/>
      <c r="TV38" s="42"/>
      <c r="TW38" s="42"/>
      <c r="TX38" s="42"/>
      <c r="TY38" s="42"/>
      <c r="TZ38" s="42"/>
      <c r="UA38" s="42"/>
      <c r="UB38" s="42"/>
      <c r="UC38" s="42"/>
      <c r="UD38" s="42"/>
      <c r="UE38" s="42"/>
      <c r="UF38" s="42"/>
      <c r="UG38" s="42"/>
      <c r="UH38" s="42"/>
      <c r="UI38" s="42"/>
      <c r="UJ38" s="42"/>
      <c r="UK38" s="42"/>
      <c r="UL38" s="42"/>
      <c r="UM38" s="42"/>
      <c r="UN38" s="42"/>
      <c r="UO38" s="42"/>
      <c r="UP38" s="42"/>
      <c r="UQ38" s="42"/>
      <c r="UR38" s="42"/>
      <c r="US38" s="42"/>
      <c r="UT38" s="42"/>
      <c r="UU38" s="42"/>
      <c r="UV38" s="42"/>
      <c r="UW38" s="42"/>
      <c r="UX38" s="42"/>
      <c r="UY38" s="42"/>
      <c r="UZ38" s="42"/>
      <c r="VA38" s="42"/>
      <c r="VB38" s="42"/>
      <c r="VC38" s="42"/>
      <c r="VD38" s="42"/>
      <c r="VE38" s="42"/>
      <c r="VF38" s="42"/>
      <c r="VG38" s="42"/>
      <c r="VH38" s="42"/>
      <c r="VI38" s="42"/>
      <c r="VJ38" s="42"/>
      <c r="VK38" s="42"/>
      <c r="VL38" s="42"/>
      <c r="VM38" s="4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42"/>
      <c r="WJ38" s="42"/>
      <c r="WK38" s="42"/>
      <c r="WL38" s="42"/>
      <c r="WM38" s="42"/>
      <c r="WN38" s="42"/>
      <c r="WO38" s="42"/>
      <c r="WP38" s="42"/>
      <c r="WQ38" s="42"/>
      <c r="WR38" s="42"/>
      <c r="WS38" s="42"/>
      <c r="WT38" s="42"/>
      <c r="WU38" s="42"/>
      <c r="WV38" s="42"/>
      <c r="WW38" s="42"/>
      <c r="WX38" s="42"/>
      <c r="WY38" s="42"/>
      <c r="WZ38" s="42"/>
      <c r="XA38" s="42"/>
      <c r="XB38" s="42"/>
      <c r="XC38" s="42"/>
      <c r="XD38" s="42"/>
      <c r="XE38" s="42"/>
      <c r="XF38" s="42"/>
      <c r="XG38" s="42"/>
      <c r="XH38" s="42"/>
      <c r="XI38" s="42"/>
      <c r="XJ38" s="42"/>
      <c r="XK38" s="42"/>
      <c r="XL38" s="42"/>
      <c r="XM38" s="42"/>
      <c r="XN38" s="42"/>
      <c r="XO38" s="42"/>
      <c r="XP38" s="42"/>
      <c r="XQ38" s="42"/>
      <c r="XR38" s="42"/>
      <c r="XS38" s="42"/>
      <c r="XT38" s="42"/>
      <c r="XU38" s="42"/>
      <c r="XV38" s="42"/>
      <c r="XW38" s="42"/>
      <c r="XX38" s="42"/>
      <c r="XY38" s="42"/>
      <c r="XZ38" s="42"/>
      <c r="YA38" s="42"/>
      <c r="YB38" s="42"/>
      <c r="YC38" s="42"/>
      <c r="YD38" s="42"/>
      <c r="YE38" s="42"/>
      <c r="YF38" s="42"/>
      <c r="YG38" s="42"/>
      <c r="YH38" s="42"/>
      <c r="YI38" s="42"/>
      <c r="YJ38" s="42"/>
      <c r="YK38" s="42"/>
      <c r="YL38" s="42"/>
      <c r="YM38" s="42"/>
      <c r="YN38" s="42"/>
      <c r="YO38" s="42"/>
      <c r="YP38" s="42"/>
      <c r="YQ38" s="42"/>
      <c r="YR38" s="42"/>
      <c r="YS38" s="42"/>
      <c r="YT38" s="42"/>
      <c r="YU38" s="42"/>
      <c r="YV38" s="42"/>
      <c r="YW38" s="42"/>
      <c r="YX38" s="42"/>
      <c r="YY38" s="42"/>
      <c r="YZ38" s="42"/>
      <c r="ZA38" s="42"/>
      <c r="ZB38" s="42"/>
      <c r="ZC38" s="42"/>
      <c r="ZD38" s="42"/>
      <c r="ZE38" s="42"/>
      <c r="ZF38" s="42"/>
      <c r="ZG38" s="42"/>
      <c r="ZH38" s="42"/>
      <c r="ZI38" s="42"/>
      <c r="ZJ38" s="42"/>
      <c r="ZK38" s="42"/>
      <c r="ZL38" s="42"/>
      <c r="ZM38" s="42"/>
      <c r="ZN38" s="42"/>
      <c r="ZO38" s="42"/>
      <c r="ZP38" s="42"/>
      <c r="ZQ38" s="42"/>
      <c r="ZR38" s="42"/>
      <c r="ZS38" s="42"/>
      <c r="ZT38" s="42"/>
      <c r="ZU38" s="42"/>
      <c r="ZV38" s="42"/>
      <c r="ZW38" s="42"/>
      <c r="ZX38" s="42"/>
      <c r="ZY38" s="42"/>
      <c r="ZZ38" s="42"/>
      <c r="AAA38" s="42"/>
      <c r="AAB38" s="42"/>
      <c r="AAC38" s="42"/>
      <c r="AAD38" s="42"/>
      <c r="AAE38" s="42"/>
      <c r="AAF38" s="42"/>
      <c r="AAG38" s="42"/>
      <c r="AAH38" s="42"/>
      <c r="AAI38" s="42"/>
      <c r="AAJ38" s="42"/>
      <c r="AAK38" s="42"/>
      <c r="AAL38" s="42"/>
      <c r="AAM38" s="42"/>
      <c r="AAN38" s="42"/>
      <c r="AAO38" s="42"/>
      <c r="AAP38" s="42"/>
      <c r="AAQ38" s="42"/>
      <c r="AAR38" s="42"/>
      <c r="AAS38" s="42"/>
      <c r="AAT38" s="42"/>
      <c r="AAU38" s="42"/>
      <c r="AAV38" s="42"/>
      <c r="AAW38" s="42"/>
      <c r="AAX38" s="42"/>
      <c r="AAY38" s="42"/>
      <c r="AAZ38" s="42"/>
      <c r="ABA38" s="42"/>
      <c r="ABB38" s="42"/>
      <c r="ABC38" s="42"/>
      <c r="ABD38" s="42"/>
      <c r="ABE38" s="42"/>
      <c r="ABF38" s="42"/>
      <c r="ABG38" s="42"/>
      <c r="ABH38" s="42"/>
      <c r="ABI38" s="42"/>
      <c r="ABJ38" s="42"/>
      <c r="ABK38" s="42"/>
      <c r="ABL38" s="42"/>
      <c r="ABM38" s="42"/>
      <c r="ABN38" s="42"/>
      <c r="ABO38" s="42"/>
      <c r="ABP38" s="42"/>
      <c r="ABQ38" s="42"/>
      <c r="ABR38" s="42"/>
      <c r="ABS38" s="42"/>
      <c r="ABT38" s="42"/>
      <c r="ABU38" s="42"/>
      <c r="ABV38" s="42"/>
      <c r="ABW38" s="42"/>
      <c r="ABX38" s="42"/>
      <c r="ABY38" s="42"/>
      <c r="ABZ38" s="42"/>
      <c r="ACA38" s="42"/>
      <c r="ACB38" s="42"/>
      <c r="ACC38" s="42"/>
      <c r="ACD38" s="42"/>
      <c r="ACE38" s="42"/>
      <c r="ACF38" s="42"/>
      <c r="ACG38" s="42"/>
      <c r="ACH38" s="42"/>
      <c r="ACI38" s="42"/>
      <c r="ACJ38" s="42"/>
      <c r="ACK38" s="42"/>
      <c r="ACL38" s="42"/>
      <c r="ACM38" s="42"/>
      <c r="ACN38" s="42"/>
      <c r="ACO38" s="42"/>
      <c r="ACP38" s="42"/>
      <c r="ACQ38" s="42"/>
      <c r="ACR38" s="42"/>
      <c r="ACS38" s="42"/>
      <c r="ACT38" s="42"/>
      <c r="ACU38" s="42"/>
      <c r="ACV38" s="42"/>
      <c r="ACW38" s="42"/>
      <c r="ACX38" s="42"/>
      <c r="ACY38" s="42"/>
      <c r="ACZ38" s="42"/>
      <c r="ADA38" s="42"/>
      <c r="ADB38" s="42"/>
      <c r="ADC38" s="42"/>
      <c r="ADD38" s="42"/>
      <c r="ADE38" s="42"/>
      <c r="ADF38" s="42"/>
      <c r="ADG38" s="42"/>
      <c r="ADH38" s="42"/>
      <c r="ADI38" s="42"/>
      <c r="ADJ38" s="42"/>
      <c r="ADK38" s="42"/>
      <c r="ADL38" s="42"/>
      <c r="ADM38" s="42"/>
      <c r="ADN38" s="42"/>
      <c r="ADO38" s="42"/>
      <c r="ADP38" s="42"/>
      <c r="ADQ38" s="42"/>
      <c r="ADR38" s="42"/>
      <c r="ADS38" s="42"/>
      <c r="ADT38" s="42"/>
      <c r="ADU38" s="42"/>
      <c r="ADV38" s="42"/>
      <c r="ADW38" s="42"/>
      <c r="ADX38" s="42"/>
      <c r="ADY38" s="42"/>
      <c r="ADZ38" s="42"/>
      <c r="AEA38" s="42"/>
      <c r="AEB38" s="42"/>
      <c r="AEC38" s="42"/>
      <c r="AED38" s="42"/>
      <c r="AEE38" s="42"/>
      <c r="AEF38" s="42"/>
      <c r="AEG38" s="42"/>
      <c r="AEH38" s="42"/>
      <c r="AEI38" s="42"/>
      <c r="AEJ38" s="42"/>
      <c r="AEK38" s="42"/>
      <c r="AEL38" s="42"/>
      <c r="AEM38" s="42"/>
      <c r="AEN38" s="42"/>
      <c r="AEO38" s="42"/>
      <c r="AEP38" s="42"/>
      <c r="AEQ38" s="42"/>
      <c r="AER38" s="42"/>
      <c r="AES38" s="42"/>
      <c r="AET38" s="42"/>
      <c r="AEU38" s="42"/>
      <c r="AEV38" s="42"/>
      <c r="AEW38" s="42"/>
      <c r="AEX38" s="42"/>
      <c r="AEY38" s="42"/>
      <c r="AEZ38" s="42"/>
      <c r="AFA38" s="42"/>
      <c r="AFB38" s="42"/>
      <c r="AFC38" s="42"/>
      <c r="AFD38" s="42"/>
      <c r="AFE38" s="42"/>
      <c r="AFF38" s="42"/>
      <c r="AFG38" s="42"/>
      <c r="AFH38" s="42"/>
      <c r="AFI38" s="42"/>
      <c r="AFJ38" s="42"/>
      <c r="AFK38" s="42"/>
      <c r="AFL38" s="42"/>
      <c r="AFM38" s="42"/>
      <c r="AFN38" s="42"/>
      <c r="AFO38" s="42"/>
      <c r="AFP38" s="42"/>
      <c r="AFQ38" s="42"/>
      <c r="AFR38" s="42"/>
      <c r="AFS38" s="42"/>
      <c r="AFT38" s="42"/>
      <c r="AFU38" s="42"/>
      <c r="AFV38" s="42"/>
      <c r="AFW38" s="42"/>
      <c r="AFX38" s="42"/>
      <c r="AFY38" s="42"/>
      <c r="AFZ38" s="42"/>
      <c r="AGA38" s="42"/>
      <c r="AGB38" s="42"/>
      <c r="AGC38" s="42"/>
      <c r="AGD38" s="42"/>
      <c r="AGE38" s="42"/>
      <c r="AGF38" s="42"/>
      <c r="AGG38" s="42"/>
      <c r="AGH38" s="42"/>
      <c r="AGI38" s="42"/>
      <c r="AGJ38" s="42"/>
      <c r="AGK38" s="42"/>
      <c r="AGL38" s="42"/>
      <c r="AGM38" s="42"/>
      <c r="AGN38" s="42"/>
      <c r="AGO38" s="42"/>
      <c r="AGP38" s="42"/>
      <c r="AGQ38" s="42"/>
      <c r="AGR38" s="42"/>
      <c r="AGS38" s="42"/>
      <c r="AGT38" s="42"/>
      <c r="AGU38" s="42"/>
      <c r="AGV38" s="42"/>
      <c r="AGW38" s="42"/>
      <c r="AGX38" s="42"/>
      <c r="AGY38" s="42"/>
      <c r="AGZ38" s="42"/>
      <c r="AHA38" s="42"/>
      <c r="AHB38" s="42"/>
      <c r="AHC38" s="42"/>
      <c r="AHD38" s="42"/>
      <c r="AHE38" s="42"/>
      <c r="AHF38" s="42"/>
      <c r="AHG38" s="42"/>
      <c r="AHH38" s="42"/>
      <c r="AHI38" s="42"/>
      <c r="AHJ38" s="42"/>
      <c r="AHK38" s="42"/>
      <c r="AHL38" s="42"/>
      <c r="AHM38" s="42"/>
      <c r="AHN38" s="42"/>
      <c r="AHO38" s="42"/>
      <c r="AHP38" s="42"/>
      <c r="AHQ38" s="42"/>
      <c r="AHR38" s="42"/>
      <c r="AHS38" s="42"/>
      <c r="AHT38" s="42"/>
      <c r="AHU38" s="42"/>
      <c r="AHV38" s="42"/>
      <c r="AHW38" s="42"/>
      <c r="AHX38" s="42"/>
      <c r="AHY38" s="42"/>
      <c r="AHZ38" s="42"/>
      <c r="AIA38" s="42"/>
      <c r="AIB38" s="42"/>
      <c r="AIC38" s="42"/>
      <c r="AID38" s="42"/>
      <c r="AIE38" s="42"/>
      <c r="AIF38" s="42"/>
      <c r="AIG38" s="42"/>
      <c r="AIH38" s="42"/>
      <c r="AII38" s="42"/>
      <c r="AIJ38" s="42"/>
      <c r="AIK38" s="42"/>
      <c r="AIL38" s="42"/>
      <c r="AIM38" s="42"/>
      <c r="AIN38" s="42"/>
      <c r="AIO38" s="42"/>
      <c r="AIP38" s="42"/>
      <c r="AIQ38" s="42"/>
      <c r="AIR38" s="42"/>
      <c r="AIS38" s="42"/>
      <c r="AIT38" s="42"/>
      <c r="AIU38" s="42"/>
      <c r="AIV38" s="42"/>
      <c r="AIW38" s="42"/>
      <c r="AIX38" s="42"/>
      <c r="AIY38" s="42"/>
      <c r="AIZ38" s="42"/>
      <c r="AJA38" s="42"/>
      <c r="AJB38" s="42"/>
      <c r="AJC38" s="42"/>
      <c r="AJD38" s="42"/>
      <c r="AJE38" s="42"/>
      <c r="AJF38" s="42"/>
      <c r="AJG38" s="42"/>
      <c r="AJH38" s="42"/>
      <c r="AJI38" s="42"/>
      <c r="AJJ38" s="42"/>
      <c r="AJK38" s="42"/>
      <c r="AJL38" s="42"/>
      <c r="AJM38" s="42"/>
      <c r="AJN38" s="42"/>
      <c r="AJO38" s="42"/>
      <c r="AJP38" s="42"/>
      <c r="AJQ38" s="42"/>
      <c r="AJR38" s="42"/>
      <c r="AJS38" s="42"/>
      <c r="AJT38" s="42"/>
      <c r="AJU38" s="42"/>
      <c r="AJV38" s="42"/>
      <c r="AJW38" s="42"/>
      <c r="AJX38" s="42"/>
      <c r="AJY38" s="42"/>
      <c r="AJZ38" s="42"/>
      <c r="AKA38" s="42"/>
      <c r="AKB38" s="42"/>
      <c r="AKC38" s="42"/>
      <c r="AKD38" s="42"/>
      <c r="AKE38" s="42"/>
      <c r="AKF38" s="42"/>
      <c r="AKG38" s="42"/>
      <c r="AKH38" s="42"/>
      <c r="AKI38" s="42"/>
      <c r="AKJ38" s="42"/>
      <c r="AKK38" s="42"/>
      <c r="AKL38" s="42"/>
      <c r="AKM38" s="42"/>
      <c r="AKN38" s="42"/>
      <c r="AKO38" s="42"/>
      <c r="AKP38" s="42"/>
      <c r="AKQ38" s="42"/>
      <c r="AKR38" s="42"/>
      <c r="AKS38" s="42"/>
      <c r="AKT38" s="42"/>
      <c r="AKU38" s="42"/>
      <c r="AKV38" s="42"/>
      <c r="AKW38" s="42"/>
      <c r="AKX38" s="42"/>
      <c r="AKY38" s="42"/>
      <c r="AKZ38" s="42"/>
      <c r="ALA38" s="42"/>
      <c r="ALB38" s="42"/>
      <c r="ALC38" s="42"/>
      <c r="ALD38" s="42"/>
      <c r="ALE38" s="42"/>
      <c r="ALF38" s="42"/>
      <c r="ALG38" s="42"/>
      <c r="ALH38" s="42"/>
      <c r="ALI38" s="42"/>
      <c r="ALJ38" s="42"/>
      <c r="ALK38" s="42"/>
      <c r="ALL38" s="42"/>
      <c r="ALM38" s="42"/>
      <c r="ALN38" s="42"/>
      <c r="ALO38" s="42"/>
      <c r="ALP38" s="42"/>
      <c r="ALQ38" s="42"/>
      <c r="ALR38" s="42"/>
      <c r="ALS38" s="42"/>
      <c r="ALT38" s="42"/>
      <c r="ALU38" s="42"/>
      <c r="ALV38" s="42"/>
      <c r="ALW38" s="42"/>
      <c r="ALX38" s="42"/>
      <c r="ALY38" s="42"/>
      <c r="ALZ38" s="42"/>
      <c r="AMA38" s="42"/>
      <c r="AMB38" s="42"/>
      <c r="AMC38" s="42"/>
      <c r="AMD38" s="42"/>
      <c r="AME38" s="42"/>
    </row>
    <row r="39" spans="1:1019" customFormat="1" x14ac:dyDescent="0.25">
      <c r="A39" s="57"/>
      <c r="B39" s="55"/>
      <c r="C39" s="128"/>
      <c r="D39" s="145"/>
      <c r="E39" s="76"/>
      <c r="F39" s="5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  <c r="LW39" s="42"/>
      <c r="LX39" s="42"/>
      <c r="LY39" s="42"/>
      <c r="LZ39" s="42"/>
      <c r="MA39" s="42"/>
      <c r="MB39" s="42"/>
      <c r="MC39" s="42"/>
      <c r="MD39" s="42"/>
      <c r="ME39" s="42"/>
      <c r="MF39" s="42"/>
      <c r="MG39" s="42"/>
      <c r="MH39" s="42"/>
      <c r="MI39" s="42"/>
      <c r="MJ39" s="42"/>
      <c r="MK39" s="42"/>
      <c r="ML39" s="42"/>
      <c r="MM39" s="42"/>
      <c r="MN39" s="42"/>
      <c r="MO39" s="42"/>
      <c r="MP39" s="42"/>
      <c r="MQ39" s="42"/>
      <c r="MR39" s="42"/>
      <c r="MS39" s="42"/>
      <c r="MT39" s="42"/>
      <c r="MU39" s="42"/>
      <c r="MV39" s="42"/>
      <c r="MW39" s="42"/>
      <c r="MX39" s="42"/>
      <c r="MY39" s="42"/>
      <c r="MZ39" s="42"/>
      <c r="NA39" s="42"/>
      <c r="NB39" s="42"/>
      <c r="NC39" s="42"/>
      <c r="ND39" s="42"/>
      <c r="NE39" s="42"/>
      <c r="NF39" s="42"/>
      <c r="NG39" s="42"/>
      <c r="NH39" s="42"/>
      <c r="NI39" s="42"/>
      <c r="NJ39" s="42"/>
      <c r="NK39" s="42"/>
      <c r="NL39" s="42"/>
      <c r="NM39" s="42"/>
      <c r="NN39" s="42"/>
      <c r="NO39" s="42"/>
      <c r="NP39" s="42"/>
      <c r="NQ39" s="42"/>
      <c r="NR39" s="42"/>
      <c r="NS39" s="42"/>
      <c r="NT39" s="42"/>
      <c r="NU39" s="42"/>
      <c r="NV39" s="42"/>
      <c r="NW39" s="42"/>
      <c r="NX39" s="42"/>
      <c r="NY39" s="42"/>
      <c r="NZ39" s="42"/>
      <c r="OA39" s="42"/>
      <c r="OB39" s="42"/>
      <c r="OC39" s="42"/>
      <c r="OD39" s="42"/>
      <c r="OE39" s="42"/>
      <c r="OF39" s="42"/>
      <c r="OG39" s="42"/>
      <c r="OH39" s="42"/>
      <c r="OI39" s="42"/>
      <c r="OJ39" s="42"/>
      <c r="OK39" s="42"/>
      <c r="OL39" s="42"/>
      <c r="OM39" s="42"/>
      <c r="ON39" s="42"/>
      <c r="OO39" s="42"/>
      <c r="OP39" s="42"/>
      <c r="OQ39" s="42"/>
      <c r="OR39" s="42"/>
      <c r="OS39" s="42"/>
      <c r="OT39" s="42"/>
      <c r="OU39" s="42"/>
      <c r="OV39" s="42"/>
      <c r="OW39" s="42"/>
      <c r="OX39" s="42"/>
      <c r="OY39" s="42"/>
      <c r="OZ39" s="42"/>
      <c r="PA39" s="42"/>
      <c r="PB39" s="42"/>
      <c r="PC39" s="42"/>
      <c r="PD39" s="42"/>
      <c r="PE39" s="42"/>
      <c r="PF39" s="42"/>
      <c r="PG39" s="42"/>
      <c r="PH39" s="42"/>
      <c r="PI39" s="42"/>
      <c r="PJ39" s="42"/>
      <c r="PK39" s="42"/>
      <c r="PL39" s="42"/>
      <c r="PM39" s="42"/>
      <c r="PN39" s="42"/>
      <c r="PO39" s="42"/>
      <c r="PP39" s="42"/>
      <c r="PQ39" s="42"/>
      <c r="PR39" s="42"/>
      <c r="PS39" s="42"/>
      <c r="PT39" s="42"/>
      <c r="PU39" s="42"/>
      <c r="PV39" s="42"/>
      <c r="PW39" s="42"/>
      <c r="PX39" s="42"/>
      <c r="PY39" s="42"/>
      <c r="PZ39" s="42"/>
      <c r="QA39" s="42"/>
      <c r="QB39" s="42"/>
      <c r="QC39" s="42"/>
      <c r="QD39" s="42"/>
      <c r="QE39" s="42"/>
      <c r="QF39" s="42"/>
      <c r="QG39" s="42"/>
      <c r="QH39" s="42"/>
      <c r="QI39" s="42"/>
      <c r="QJ39" s="42"/>
      <c r="QK39" s="42"/>
      <c r="QL39" s="42"/>
      <c r="QM39" s="42"/>
      <c r="QN39" s="42"/>
      <c r="QO39" s="42"/>
      <c r="QP39" s="42"/>
      <c r="QQ39" s="42"/>
      <c r="QR39" s="42"/>
      <c r="QS39" s="42"/>
      <c r="QT39" s="42"/>
      <c r="QU39" s="42"/>
      <c r="QV39" s="42"/>
      <c r="QW39" s="42"/>
      <c r="QX39" s="42"/>
      <c r="QY39" s="42"/>
      <c r="QZ39" s="42"/>
      <c r="RA39" s="42"/>
      <c r="RB39" s="42"/>
      <c r="RC39" s="42"/>
      <c r="RD39" s="42"/>
      <c r="RE39" s="42"/>
      <c r="RF39" s="42"/>
      <c r="RG39" s="42"/>
      <c r="RH39" s="42"/>
      <c r="RI39" s="42"/>
      <c r="RJ39" s="42"/>
      <c r="RK39" s="42"/>
      <c r="RL39" s="42"/>
      <c r="RM39" s="42"/>
      <c r="RN39" s="42"/>
      <c r="RO39" s="42"/>
      <c r="RP39" s="42"/>
      <c r="RQ39" s="42"/>
      <c r="RR39" s="42"/>
      <c r="RS39" s="42"/>
      <c r="RT39" s="42"/>
      <c r="RU39" s="42"/>
      <c r="RV39" s="42"/>
      <c r="RW39" s="42"/>
      <c r="RX39" s="42"/>
      <c r="RY39" s="42"/>
      <c r="RZ39" s="42"/>
      <c r="SA39" s="42"/>
      <c r="SB39" s="42"/>
      <c r="SC39" s="42"/>
      <c r="SD39" s="42"/>
      <c r="SE39" s="42"/>
      <c r="SF39" s="42"/>
      <c r="SG39" s="42"/>
      <c r="SH39" s="42"/>
      <c r="SI39" s="42"/>
      <c r="SJ39" s="42"/>
      <c r="SK39" s="42"/>
      <c r="SL39" s="42"/>
      <c r="SM39" s="42"/>
      <c r="SN39" s="42"/>
      <c r="SO39" s="42"/>
      <c r="SP39" s="42"/>
      <c r="SQ39" s="42"/>
      <c r="SR39" s="42"/>
      <c r="SS39" s="42"/>
      <c r="ST39" s="42"/>
      <c r="SU39" s="42"/>
      <c r="SV39" s="42"/>
      <c r="SW39" s="42"/>
      <c r="SX39" s="42"/>
      <c r="SY39" s="42"/>
      <c r="SZ39" s="42"/>
      <c r="TA39" s="42"/>
      <c r="TB39" s="42"/>
      <c r="TC39" s="42"/>
      <c r="TD39" s="42"/>
      <c r="TE39" s="42"/>
      <c r="TF39" s="42"/>
      <c r="TG39" s="42"/>
      <c r="TH39" s="42"/>
      <c r="TI39" s="42"/>
      <c r="TJ39" s="42"/>
      <c r="TK39" s="42"/>
      <c r="TL39" s="42"/>
      <c r="TM39" s="42"/>
      <c r="TN39" s="42"/>
      <c r="TO39" s="42"/>
      <c r="TP39" s="42"/>
      <c r="TQ39" s="42"/>
      <c r="TR39" s="42"/>
      <c r="TS39" s="42"/>
      <c r="TT39" s="42"/>
      <c r="TU39" s="42"/>
      <c r="TV39" s="42"/>
      <c r="TW39" s="42"/>
      <c r="TX39" s="42"/>
      <c r="TY39" s="42"/>
      <c r="TZ39" s="42"/>
      <c r="UA39" s="42"/>
      <c r="UB39" s="42"/>
      <c r="UC39" s="42"/>
      <c r="UD39" s="42"/>
      <c r="UE39" s="42"/>
      <c r="UF39" s="42"/>
      <c r="UG39" s="42"/>
      <c r="UH39" s="42"/>
      <c r="UI39" s="42"/>
      <c r="UJ39" s="42"/>
      <c r="UK39" s="42"/>
      <c r="UL39" s="42"/>
      <c r="UM39" s="42"/>
      <c r="UN39" s="42"/>
      <c r="UO39" s="42"/>
      <c r="UP39" s="42"/>
      <c r="UQ39" s="42"/>
      <c r="UR39" s="42"/>
      <c r="US39" s="42"/>
      <c r="UT39" s="42"/>
      <c r="UU39" s="42"/>
      <c r="UV39" s="42"/>
      <c r="UW39" s="42"/>
      <c r="UX39" s="42"/>
      <c r="UY39" s="42"/>
      <c r="UZ39" s="42"/>
      <c r="VA39" s="42"/>
      <c r="VB39" s="42"/>
      <c r="VC39" s="42"/>
      <c r="VD39" s="42"/>
      <c r="VE39" s="42"/>
      <c r="VF39" s="42"/>
      <c r="VG39" s="42"/>
      <c r="VH39" s="42"/>
      <c r="VI39" s="42"/>
      <c r="VJ39" s="42"/>
      <c r="VK39" s="42"/>
      <c r="VL39" s="42"/>
      <c r="VM39" s="42"/>
      <c r="VN39" s="42"/>
      <c r="VO39" s="42"/>
      <c r="VP39" s="42"/>
      <c r="VQ39" s="42"/>
      <c r="VR39" s="42"/>
      <c r="VS39" s="42"/>
      <c r="VT39" s="42"/>
      <c r="VU39" s="42"/>
      <c r="VV39" s="42"/>
      <c r="VW39" s="42"/>
      <c r="VX39" s="42"/>
      <c r="VY39" s="42"/>
      <c r="VZ39" s="42"/>
      <c r="WA39" s="42"/>
      <c r="WB39" s="42"/>
      <c r="WC39" s="42"/>
      <c r="WD39" s="42"/>
      <c r="WE39" s="42"/>
      <c r="WF39" s="42"/>
      <c r="WG39" s="42"/>
      <c r="WH39" s="42"/>
      <c r="WI39" s="42"/>
      <c r="WJ39" s="42"/>
      <c r="WK39" s="42"/>
      <c r="WL39" s="42"/>
      <c r="WM39" s="42"/>
      <c r="WN39" s="42"/>
      <c r="WO39" s="42"/>
      <c r="WP39" s="42"/>
      <c r="WQ39" s="42"/>
      <c r="WR39" s="42"/>
      <c r="WS39" s="42"/>
      <c r="WT39" s="42"/>
      <c r="WU39" s="42"/>
      <c r="WV39" s="42"/>
      <c r="WW39" s="42"/>
      <c r="WX39" s="42"/>
      <c r="WY39" s="42"/>
      <c r="WZ39" s="42"/>
      <c r="XA39" s="42"/>
      <c r="XB39" s="42"/>
      <c r="XC39" s="42"/>
      <c r="XD39" s="42"/>
      <c r="XE39" s="42"/>
      <c r="XF39" s="42"/>
      <c r="XG39" s="42"/>
      <c r="XH39" s="42"/>
      <c r="XI39" s="42"/>
      <c r="XJ39" s="42"/>
      <c r="XK39" s="42"/>
      <c r="XL39" s="42"/>
      <c r="XM39" s="42"/>
      <c r="XN39" s="42"/>
      <c r="XO39" s="42"/>
      <c r="XP39" s="42"/>
      <c r="XQ39" s="42"/>
      <c r="XR39" s="42"/>
      <c r="XS39" s="42"/>
      <c r="XT39" s="42"/>
      <c r="XU39" s="42"/>
      <c r="XV39" s="42"/>
      <c r="XW39" s="42"/>
      <c r="XX39" s="42"/>
      <c r="XY39" s="42"/>
      <c r="XZ39" s="42"/>
      <c r="YA39" s="42"/>
      <c r="YB39" s="42"/>
      <c r="YC39" s="42"/>
      <c r="YD39" s="42"/>
      <c r="YE39" s="42"/>
      <c r="YF39" s="42"/>
      <c r="YG39" s="42"/>
      <c r="YH39" s="42"/>
      <c r="YI39" s="42"/>
      <c r="YJ39" s="42"/>
      <c r="YK39" s="42"/>
      <c r="YL39" s="42"/>
      <c r="YM39" s="42"/>
      <c r="YN39" s="42"/>
      <c r="YO39" s="42"/>
      <c r="YP39" s="42"/>
      <c r="YQ39" s="42"/>
      <c r="YR39" s="42"/>
      <c r="YS39" s="42"/>
      <c r="YT39" s="42"/>
      <c r="YU39" s="42"/>
      <c r="YV39" s="42"/>
      <c r="YW39" s="42"/>
      <c r="YX39" s="42"/>
      <c r="YY39" s="42"/>
      <c r="YZ39" s="42"/>
      <c r="ZA39" s="42"/>
      <c r="ZB39" s="42"/>
      <c r="ZC39" s="42"/>
      <c r="ZD39" s="42"/>
      <c r="ZE39" s="42"/>
      <c r="ZF39" s="42"/>
      <c r="ZG39" s="42"/>
      <c r="ZH39" s="42"/>
      <c r="ZI39" s="42"/>
      <c r="ZJ39" s="42"/>
      <c r="ZK39" s="42"/>
      <c r="ZL39" s="42"/>
      <c r="ZM39" s="42"/>
      <c r="ZN39" s="42"/>
      <c r="ZO39" s="42"/>
      <c r="ZP39" s="42"/>
      <c r="ZQ39" s="42"/>
      <c r="ZR39" s="42"/>
      <c r="ZS39" s="42"/>
      <c r="ZT39" s="42"/>
      <c r="ZU39" s="42"/>
      <c r="ZV39" s="42"/>
      <c r="ZW39" s="42"/>
      <c r="ZX39" s="42"/>
      <c r="ZY39" s="42"/>
      <c r="ZZ39" s="42"/>
      <c r="AAA39" s="42"/>
      <c r="AAB39" s="42"/>
      <c r="AAC39" s="42"/>
      <c r="AAD39" s="42"/>
      <c r="AAE39" s="42"/>
      <c r="AAF39" s="42"/>
      <c r="AAG39" s="42"/>
      <c r="AAH39" s="42"/>
      <c r="AAI39" s="42"/>
      <c r="AAJ39" s="42"/>
      <c r="AAK39" s="42"/>
      <c r="AAL39" s="42"/>
      <c r="AAM39" s="42"/>
      <c r="AAN39" s="42"/>
      <c r="AAO39" s="42"/>
      <c r="AAP39" s="42"/>
      <c r="AAQ39" s="42"/>
      <c r="AAR39" s="42"/>
      <c r="AAS39" s="42"/>
      <c r="AAT39" s="42"/>
      <c r="AAU39" s="42"/>
      <c r="AAV39" s="42"/>
      <c r="AAW39" s="42"/>
      <c r="AAX39" s="42"/>
      <c r="AAY39" s="42"/>
      <c r="AAZ39" s="42"/>
      <c r="ABA39" s="42"/>
      <c r="ABB39" s="42"/>
      <c r="ABC39" s="42"/>
      <c r="ABD39" s="42"/>
      <c r="ABE39" s="42"/>
      <c r="ABF39" s="42"/>
      <c r="ABG39" s="42"/>
      <c r="ABH39" s="42"/>
      <c r="ABI39" s="42"/>
      <c r="ABJ39" s="42"/>
      <c r="ABK39" s="42"/>
      <c r="ABL39" s="42"/>
      <c r="ABM39" s="42"/>
      <c r="ABN39" s="42"/>
      <c r="ABO39" s="42"/>
      <c r="ABP39" s="42"/>
      <c r="ABQ39" s="42"/>
      <c r="ABR39" s="42"/>
      <c r="ABS39" s="42"/>
      <c r="ABT39" s="42"/>
      <c r="ABU39" s="42"/>
      <c r="ABV39" s="42"/>
      <c r="ABW39" s="42"/>
      <c r="ABX39" s="42"/>
      <c r="ABY39" s="42"/>
      <c r="ABZ39" s="42"/>
      <c r="ACA39" s="42"/>
      <c r="ACB39" s="42"/>
      <c r="ACC39" s="42"/>
      <c r="ACD39" s="42"/>
      <c r="ACE39" s="42"/>
      <c r="ACF39" s="42"/>
      <c r="ACG39" s="42"/>
      <c r="ACH39" s="42"/>
      <c r="ACI39" s="42"/>
      <c r="ACJ39" s="42"/>
      <c r="ACK39" s="42"/>
      <c r="ACL39" s="42"/>
      <c r="ACM39" s="42"/>
      <c r="ACN39" s="42"/>
      <c r="ACO39" s="42"/>
      <c r="ACP39" s="42"/>
      <c r="ACQ39" s="42"/>
      <c r="ACR39" s="42"/>
      <c r="ACS39" s="42"/>
      <c r="ACT39" s="42"/>
      <c r="ACU39" s="42"/>
      <c r="ACV39" s="42"/>
      <c r="ACW39" s="42"/>
      <c r="ACX39" s="42"/>
      <c r="ACY39" s="42"/>
      <c r="ACZ39" s="42"/>
      <c r="ADA39" s="42"/>
      <c r="ADB39" s="42"/>
      <c r="ADC39" s="42"/>
      <c r="ADD39" s="42"/>
      <c r="ADE39" s="42"/>
      <c r="ADF39" s="42"/>
      <c r="ADG39" s="42"/>
      <c r="ADH39" s="42"/>
      <c r="ADI39" s="42"/>
      <c r="ADJ39" s="42"/>
      <c r="ADK39" s="42"/>
      <c r="ADL39" s="42"/>
      <c r="ADM39" s="42"/>
      <c r="ADN39" s="42"/>
      <c r="ADO39" s="42"/>
      <c r="ADP39" s="42"/>
      <c r="ADQ39" s="42"/>
      <c r="ADR39" s="42"/>
      <c r="ADS39" s="42"/>
      <c r="ADT39" s="42"/>
      <c r="ADU39" s="42"/>
      <c r="ADV39" s="42"/>
      <c r="ADW39" s="42"/>
      <c r="ADX39" s="42"/>
      <c r="ADY39" s="42"/>
      <c r="ADZ39" s="42"/>
      <c r="AEA39" s="42"/>
      <c r="AEB39" s="42"/>
      <c r="AEC39" s="42"/>
      <c r="AED39" s="42"/>
      <c r="AEE39" s="42"/>
      <c r="AEF39" s="42"/>
      <c r="AEG39" s="42"/>
      <c r="AEH39" s="42"/>
      <c r="AEI39" s="42"/>
      <c r="AEJ39" s="42"/>
      <c r="AEK39" s="42"/>
      <c r="AEL39" s="42"/>
      <c r="AEM39" s="42"/>
      <c r="AEN39" s="42"/>
      <c r="AEO39" s="42"/>
      <c r="AEP39" s="42"/>
      <c r="AEQ39" s="42"/>
      <c r="AER39" s="42"/>
      <c r="AES39" s="42"/>
      <c r="AET39" s="42"/>
      <c r="AEU39" s="42"/>
      <c r="AEV39" s="42"/>
      <c r="AEW39" s="42"/>
      <c r="AEX39" s="42"/>
      <c r="AEY39" s="42"/>
      <c r="AEZ39" s="42"/>
      <c r="AFA39" s="42"/>
      <c r="AFB39" s="42"/>
      <c r="AFC39" s="42"/>
      <c r="AFD39" s="42"/>
      <c r="AFE39" s="42"/>
      <c r="AFF39" s="42"/>
      <c r="AFG39" s="42"/>
      <c r="AFH39" s="42"/>
      <c r="AFI39" s="42"/>
      <c r="AFJ39" s="42"/>
      <c r="AFK39" s="42"/>
      <c r="AFL39" s="42"/>
      <c r="AFM39" s="42"/>
      <c r="AFN39" s="42"/>
      <c r="AFO39" s="42"/>
      <c r="AFP39" s="42"/>
      <c r="AFQ39" s="42"/>
      <c r="AFR39" s="42"/>
      <c r="AFS39" s="42"/>
      <c r="AFT39" s="42"/>
      <c r="AFU39" s="42"/>
      <c r="AFV39" s="42"/>
      <c r="AFW39" s="42"/>
      <c r="AFX39" s="42"/>
      <c r="AFY39" s="42"/>
      <c r="AFZ39" s="42"/>
      <c r="AGA39" s="42"/>
      <c r="AGB39" s="42"/>
      <c r="AGC39" s="42"/>
      <c r="AGD39" s="42"/>
      <c r="AGE39" s="42"/>
      <c r="AGF39" s="42"/>
      <c r="AGG39" s="42"/>
      <c r="AGH39" s="42"/>
      <c r="AGI39" s="42"/>
      <c r="AGJ39" s="42"/>
      <c r="AGK39" s="42"/>
      <c r="AGL39" s="42"/>
      <c r="AGM39" s="42"/>
      <c r="AGN39" s="42"/>
      <c r="AGO39" s="42"/>
      <c r="AGP39" s="42"/>
      <c r="AGQ39" s="42"/>
      <c r="AGR39" s="42"/>
      <c r="AGS39" s="42"/>
      <c r="AGT39" s="42"/>
      <c r="AGU39" s="42"/>
      <c r="AGV39" s="42"/>
      <c r="AGW39" s="42"/>
      <c r="AGX39" s="42"/>
      <c r="AGY39" s="42"/>
      <c r="AGZ39" s="42"/>
      <c r="AHA39" s="42"/>
      <c r="AHB39" s="42"/>
      <c r="AHC39" s="42"/>
      <c r="AHD39" s="42"/>
      <c r="AHE39" s="42"/>
      <c r="AHF39" s="42"/>
      <c r="AHG39" s="42"/>
      <c r="AHH39" s="42"/>
      <c r="AHI39" s="42"/>
      <c r="AHJ39" s="42"/>
      <c r="AHK39" s="42"/>
      <c r="AHL39" s="42"/>
      <c r="AHM39" s="42"/>
      <c r="AHN39" s="42"/>
      <c r="AHO39" s="42"/>
      <c r="AHP39" s="42"/>
      <c r="AHQ39" s="42"/>
      <c r="AHR39" s="42"/>
      <c r="AHS39" s="42"/>
      <c r="AHT39" s="42"/>
      <c r="AHU39" s="42"/>
      <c r="AHV39" s="42"/>
      <c r="AHW39" s="42"/>
      <c r="AHX39" s="42"/>
      <c r="AHY39" s="42"/>
      <c r="AHZ39" s="42"/>
      <c r="AIA39" s="42"/>
      <c r="AIB39" s="42"/>
      <c r="AIC39" s="42"/>
      <c r="AID39" s="42"/>
      <c r="AIE39" s="42"/>
      <c r="AIF39" s="42"/>
      <c r="AIG39" s="42"/>
      <c r="AIH39" s="42"/>
      <c r="AII39" s="42"/>
      <c r="AIJ39" s="42"/>
      <c r="AIK39" s="42"/>
      <c r="AIL39" s="42"/>
      <c r="AIM39" s="42"/>
      <c r="AIN39" s="42"/>
      <c r="AIO39" s="42"/>
      <c r="AIP39" s="42"/>
      <c r="AIQ39" s="42"/>
      <c r="AIR39" s="42"/>
      <c r="AIS39" s="42"/>
      <c r="AIT39" s="42"/>
      <c r="AIU39" s="42"/>
      <c r="AIV39" s="42"/>
      <c r="AIW39" s="42"/>
      <c r="AIX39" s="42"/>
      <c r="AIY39" s="42"/>
      <c r="AIZ39" s="42"/>
      <c r="AJA39" s="42"/>
      <c r="AJB39" s="42"/>
      <c r="AJC39" s="42"/>
      <c r="AJD39" s="42"/>
      <c r="AJE39" s="42"/>
      <c r="AJF39" s="42"/>
      <c r="AJG39" s="42"/>
      <c r="AJH39" s="42"/>
      <c r="AJI39" s="42"/>
      <c r="AJJ39" s="42"/>
      <c r="AJK39" s="42"/>
      <c r="AJL39" s="42"/>
      <c r="AJM39" s="42"/>
      <c r="AJN39" s="42"/>
      <c r="AJO39" s="42"/>
      <c r="AJP39" s="42"/>
      <c r="AJQ39" s="42"/>
      <c r="AJR39" s="42"/>
      <c r="AJS39" s="42"/>
      <c r="AJT39" s="42"/>
      <c r="AJU39" s="42"/>
      <c r="AJV39" s="42"/>
      <c r="AJW39" s="42"/>
      <c r="AJX39" s="42"/>
      <c r="AJY39" s="42"/>
      <c r="AJZ39" s="42"/>
      <c r="AKA39" s="42"/>
      <c r="AKB39" s="42"/>
      <c r="AKC39" s="42"/>
      <c r="AKD39" s="42"/>
      <c r="AKE39" s="42"/>
      <c r="AKF39" s="42"/>
      <c r="AKG39" s="42"/>
      <c r="AKH39" s="42"/>
      <c r="AKI39" s="42"/>
      <c r="AKJ39" s="42"/>
      <c r="AKK39" s="42"/>
      <c r="AKL39" s="42"/>
      <c r="AKM39" s="42"/>
      <c r="AKN39" s="42"/>
      <c r="AKO39" s="42"/>
      <c r="AKP39" s="42"/>
      <c r="AKQ39" s="42"/>
      <c r="AKR39" s="42"/>
      <c r="AKS39" s="42"/>
      <c r="AKT39" s="42"/>
      <c r="AKU39" s="42"/>
      <c r="AKV39" s="42"/>
      <c r="AKW39" s="42"/>
      <c r="AKX39" s="42"/>
      <c r="AKY39" s="42"/>
      <c r="AKZ39" s="42"/>
      <c r="ALA39" s="42"/>
      <c r="ALB39" s="42"/>
      <c r="ALC39" s="42"/>
      <c r="ALD39" s="42"/>
      <c r="ALE39" s="42"/>
      <c r="ALF39" s="42"/>
      <c r="ALG39" s="42"/>
      <c r="ALH39" s="42"/>
      <c r="ALI39" s="42"/>
      <c r="ALJ39" s="42"/>
      <c r="ALK39" s="42"/>
      <c r="ALL39" s="42"/>
      <c r="ALM39" s="42"/>
      <c r="ALN39" s="42"/>
      <c r="ALO39" s="42"/>
      <c r="ALP39" s="42"/>
      <c r="ALQ39" s="42"/>
      <c r="ALR39" s="42"/>
      <c r="ALS39" s="42"/>
      <c r="ALT39" s="42"/>
      <c r="ALU39" s="42"/>
      <c r="ALV39" s="42"/>
      <c r="ALW39" s="42"/>
      <c r="ALX39" s="42"/>
      <c r="ALY39" s="42"/>
      <c r="ALZ39" s="42"/>
      <c r="AMA39" s="42"/>
      <c r="AMB39" s="42"/>
      <c r="AMC39" s="42"/>
      <c r="AMD39" s="42"/>
      <c r="AME39" s="42"/>
    </row>
    <row r="40" spans="1:1019" customFormat="1" ht="26.4" x14ac:dyDescent="0.25">
      <c r="A40" s="57"/>
      <c r="B40" s="55" t="s">
        <v>323</v>
      </c>
      <c r="C40" s="128">
        <v>8.91</v>
      </c>
      <c r="D40" s="145" t="s">
        <v>42</v>
      </c>
      <c r="E40" s="76">
        <v>325</v>
      </c>
      <c r="F40" s="53">
        <f>IF(C40&gt;0,C40*E40,"")</f>
        <v>2895.75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  <c r="MH40" s="42"/>
      <c r="MI40" s="42"/>
      <c r="MJ40" s="42"/>
      <c r="MK40" s="42"/>
      <c r="ML40" s="42"/>
      <c r="MM40" s="42"/>
      <c r="MN40" s="42"/>
      <c r="MO40" s="42"/>
      <c r="MP40" s="42"/>
      <c r="MQ40" s="42"/>
      <c r="MR40" s="42"/>
      <c r="MS40" s="42"/>
      <c r="MT40" s="42"/>
      <c r="MU40" s="42"/>
      <c r="MV40" s="42"/>
      <c r="MW40" s="42"/>
      <c r="MX40" s="42"/>
      <c r="MY40" s="42"/>
      <c r="MZ40" s="42"/>
      <c r="NA40" s="42"/>
      <c r="NB40" s="42"/>
      <c r="NC40" s="42"/>
      <c r="ND40" s="42"/>
      <c r="NE40" s="42"/>
      <c r="NF40" s="42"/>
      <c r="NG40" s="42"/>
      <c r="NH40" s="42"/>
      <c r="NI40" s="42"/>
      <c r="NJ40" s="42"/>
      <c r="NK40" s="42"/>
      <c r="NL40" s="42"/>
      <c r="NM40" s="42"/>
      <c r="NN40" s="42"/>
      <c r="NO40" s="42"/>
      <c r="NP40" s="42"/>
      <c r="NQ40" s="42"/>
      <c r="NR40" s="42"/>
      <c r="NS40" s="42"/>
      <c r="NT40" s="42"/>
      <c r="NU40" s="42"/>
      <c r="NV40" s="42"/>
      <c r="NW40" s="42"/>
      <c r="NX40" s="42"/>
      <c r="NY40" s="42"/>
      <c r="NZ40" s="42"/>
      <c r="OA40" s="42"/>
      <c r="OB40" s="42"/>
      <c r="OC40" s="42"/>
      <c r="OD40" s="42"/>
      <c r="OE40" s="42"/>
      <c r="OF40" s="42"/>
      <c r="OG40" s="42"/>
      <c r="OH40" s="42"/>
      <c r="OI40" s="42"/>
      <c r="OJ40" s="42"/>
      <c r="OK40" s="42"/>
      <c r="OL40" s="42"/>
      <c r="OM40" s="42"/>
      <c r="ON40" s="42"/>
      <c r="OO40" s="42"/>
      <c r="OP40" s="42"/>
      <c r="OQ40" s="42"/>
      <c r="OR40" s="42"/>
      <c r="OS40" s="42"/>
      <c r="OT40" s="42"/>
      <c r="OU40" s="42"/>
      <c r="OV40" s="42"/>
      <c r="OW40" s="42"/>
      <c r="OX40" s="42"/>
      <c r="OY40" s="42"/>
      <c r="OZ40" s="42"/>
      <c r="PA40" s="42"/>
      <c r="PB40" s="42"/>
      <c r="PC40" s="42"/>
      <c r="PD40" s="42"/>
      <c r="PE40" s="42"/>
      <c r="PF40" s="42"/>
      <c r="PG40" s="42"/>
      <c r="PH40" s="42"/>
      <c r="PI40" s="42"/>
      <c r="PJ40" s="42"/>
      <c r="PK40" s="42"/>
      <c r="PL40" s="42"/>
      <c r="PM40" s="42"/>
      <c r="PN40" s="42"/>
      <c r="PO40" s="42"/>
      <c r="PP40" s="42"/>
      <c r="PQ40" s="42"/>
      <c r="PR40" s="42"/>
      <c r="PS40" s="42"/>
      <c r="PT40" s="42"/>
      <c r="PU40" s="42"/>
      <c r="PV40" s="42"/>
      <c r="PW40" s="42"/>
      <c r="PX40" s="42"/>
      <c r="PY40" s="42"/>
      <c r="PZ40" s="42"/>
      <c r="QA40" s="42"/>
      <c r="QB40" s="42"/>
      <c r="QC40" s="42"/>
      <c r="QD40" s="42"/>
      <c r="QE40" s="42"/>
      <c r="QF40" s="42"/>
      <c r="QG40" s="42"/>
      <c r="QH40" s="42"/>
      <c r="QI40" s="42"/>
      <c r="QJ40" s="42"/>
      <c r="QK40" s="42"/>
      <c r="QL40" s="42"/>
      <c r="QM40" s="42"/>
      <c r="QN40" s="42"/>
      <c r="QO40" s="42"/>
      <c r="QP40" s="42"/>
      <c r="QQ40" s="42"/>
      <c r="QR40" s="42"/>
      <c r="QS40" s="42"/>
      <c r="QT40" s="42"/>
      <c r="QU40" s="42"/>
      <c r="QV40" s="42"/>
      <c r="QW40" s="42"/>
      <c r="QX40" s="42"/>
      <c r="QY40" s="42"/>
      <c r="QZ40" s="42"/>
      <c r="RA40" s="42"/>
      <c r="RB40" s="42"/>
      <c r="RC40" s="42"/>
      <c r="RD40" s="42"/>
      <c r="RE40" s="42"/>
      <c r="RF40" s="42"/>
      <c r="RG40" s="42"/>
      <c r="RH40" s="42"/>
      <c r="RI40" s="42"/>
      <c r="RJ40" s="42"/>
      <c r="RK40" s="42"/>
      <c r="RL40" s="42"/>
      <c r="RM40" s="42"/>
      <c r="RN40" s="42"/>
      <c r="RO40" s="42"/>
      <c r="RP40" s="42"/>
      <c r="RQ40" s="42"/>
      <c r="RR40" s="42"/>
      <c r="RS40" s="42"/>
      <c r="RT40" s="42"/>
      <c r="RU40" s="42"/>
      <c r="RV40" s="42"/>
      <c r="RW40" s="42"/>
      <c r="RX40" s="42"/>
      <c r="RY40" s="42"/>
      <c r="RZ40" s="42"/>
      <c r="SA40" s="42"/>
      <c r="SB40" s="42"/>
      <c r="SC40" s="42"/>
      <c r="SD40" s="42"/>
      <c r="SE40" s="42"/>
      <c r="SF40" s="42"/>
      <c r="SG40" s="42"/>
      <c r="SH40" s="42"/>
      <c r="SI40" s="42"/>
      <c r="SJ40" s="42"/>
      <c r="SK40" s="42"/>
      <c r="SL40" s="42"/>
      <c r="SM40" s="42"/>
      <c r="SN40" s="42"/>
      <c r="SO40" s="42"/>
      <c r="SP40" s="42"/>
      <c r="SQ40" s="42"/>
      <c r="SR40" s="42"/>
      <c r="SS40" s="42"/>
      <c r="ST40" s="42"/>
      <c r="SU40" s="42"/>
      <c r="SV40" s="42"/>
      <c r="SW40" s="42"/>
      <c r="SX40" s="42"/>
      <c r="SY40" s="42"/>
      <c r="SZ40" s="42"/>
      <c r="TA40" s="42"/>
      <c r="TB40" s="42"/>
      <c r="TC40" s="42"/>
      <c r="TD40" s="42"/>
      <c r="TE40" s="42"/>
      <c r="TF40" s="42"/>
      <c r="TG40" s="42"/>
      <c r="TH40" s="42"/>
      <c r="TI40" s="42"/>
      <c r="TJ40" s="42"/>
      <c r="TK40" s="42"/>
      <c r="TL40" s="42"/>
      <c r="TM40" s="42"/>
      <c r="TN40" s="42"/>
      <c r="TO40" s="42"/>
      <c r="TP40" s="42"/>
      <c r="TQ40" s="42"/>
      <c r="TR40" s="42"/>
      <c r="TS40" s="42"/>
      <c r="TT40" s="42"/>
      <c r="TU40" s="42"/>
      <c r="TV40" s="42"/>
      <c r="TW40" s="42"/>
      <c r="TX40" s="42"/>
      <c r="TY40" s="42"/>
      <c r="TZ40" s="42"/>
      <c r="UA40" s="42"/>
      <c r="UB40" s="42"/>
      <c r="UC40" s="42"/>
      <c r="UD40" s="42"/>
      <c r="UE40" s="42"/>
      <c r="UF40" s="42"/>
      <c r="UG40" s="42"/>
      <c r="UH40" s="42"/>
      <c r="UI40" s="42"/>
      <c r="UJ40" s="42"/>
      <c r="UK40" s="42"/>
      <c r="UL40" s="42"/>
      <c r="UM40" s="42"/>
      <c r="UN40" s="42"/>
      <c r="UO40" s="42"/>
      <c r="UP40" s="42"/>
      <c r="UQ40" s="42"/>
      <c r="UR40" s="42"/>
      <c r="US40" s="42"/>
      <c r="UT40" s="42"/>
      <c r="UU40" s="42"/>
      <c r="UV40" s="42"/>
      <c r="UW40" s="42"/>
      <c r="UX40" s="42"/>
      <c r="UY40" s="42"/>
      <c r="UZ40" s="42"/>
      <c r="VA40" s="42"/>
      <c r="VB40" s="42"/>
      <c r="VC40" s="42"/>
      <c r="VD40" s="42"/>
      <c r="VE40" s="42"/>
      <c r="VF40" s="42"/>
      <c r="VG40" s="42"/>
      <c r="VH40" s="42"/>
      <c r="VI40" s="42"/>
      <c r="VJ40" s="42"/>
      <c r="VK40" s="42"/>
      <c r="VL40" s="42"/>
      <c r="VM40" s="42"/>
      <c r="VN40" s="42"/>
      <c r="VO40" s="42"/>
      <c r="VP40" s="42"/>
      <c r="VQ40" s="42"/>
      <c r="VR40" s="42"/>
      <c r="VS40" s="42"/>
      <c r="VT40" s="42"/>
      <c r="VU40" s="42"/>
      <c r="VV40" s="42"/>
      <c r="VW40" s="42"/>
      <c r="VX40" s="42"/>
      <c r="VY40" s="42"/>
      <c r="VZ40" s="42"/>
      <c r="WA40" s="42"/>
      <c r="WB40" s="42"/>
      <c r="WC40" s="42"/>
      <c r="WD40" s="42"/>
      <c r="WE40" s="42"/>
      <c r="WF40" s="42"/>
      <c r="WG40" s="42"/>
      <c r="WH40" s="42"/>
      <c r="WI40" s="42"/>
      <c r="WJ40" s="42"/>
      <c r="WK40" s="42"/>
      <c r="WL40" s="42"/>
      <c r="WM40" s="42"/>
      <c r="WN40" s="42"/>
      <c r="WO40" s="42"/>
      <c r="WP40" s="42"/>
      <c r="WQ40" s="42"/>
      <c r="WR40" s="42"/>
      <c r="WS40" s="42"/>
      <c r="WT40" s="42"/>
      <c r="WU40" s="42"/>
      <c r="WV40" s="42"/>
      <c r="WW40" s="42"/>
      <c r="WX40" s="42"/>
      <c r="WY40" s="42"/>
      <c r="WZ40" s="42"/>
      <c r="XA40" s="42"/>
      <c r="XB40" s="42"/>
      <c r="XC40" s="42"/>
      <c r="XD40" s="42"/>
      <c r="XE40" s="42"/>
      <c r="XF40" s="42"/>
      <c r="XG40" s="42"/>
      <c r="XH40" s="42"/>
      <c r="XI40" s="42"/>
      <c r="XJ40" s="42"/>
      <c r="XK40" s="42"/>
      <c r="XL40" s="42"/>
      <c r="XM40" s="42"/>
      <c r="XN40" s="42"/>
      <c r="XO40" s="42"/>
      <c r="XP40" s="42"/>
      <c r="XQ40" s="42"/>
      <c r="XR40" s="42"/>
      <c r="XS40" s="42"/>
      <c r="XT40" s="42"/>
      <c r="XU40" s="42"/>
      <c r="XV40" s="42"/>
      <c r="XW40" s="42"/>
      <c r="XX40" s="42"/>
      <c r="XY40" s="42"/>
      <c r="XZ40" s="42"/>
      <c r="YA40" s="42"/>
      <c r="YB40" s="42"/>
      <c r="YC40" s="42"/>
      <c r="YD40" s="42"/>
      <c r="YE40" s="42"/>
      <c r="YF40" s="42"/>
      <c r="YG40" s="42"/>
      <c r="YH40" s="42"/>
      <c r="YI40" s="42"/>
      <c r="YJ40" s="42"/>
      <c r="YK40" s="42"/>
      <c r="YL40" s="42"/>
      <c r="YM40" s="42"/>
      <c r="YN40" s="42"/>
      <c r="YO40" s="42"/>
      <c r="YP40" s="42"/>
      <c r="YQ40" s="42"/>
      <c r="YR40" s="42"/>
      <c r="YS40" s="42"/>
      <c r="YT40" s="42"/>
      <c r="YU40" s="42"/>
      <c r="YV40" s="42"/>
      <c r="YW40" s="42"/>
      <c r="YX40" s="42"/>
      <c r="YY40" s="42"/>
      <c r="YZ40" s="42"/>
      <c r="ZA40" s="42"/>
      <c r="ZB40" s="42"/>
      <c r="ZC40" s="42"/>
      <c r="ZD40" s="42"/>
      <c r="ZE40" s="42"/>
      <c r="ZF40" s="42"/>
      <c r="ZG40" s="42"/>
      <c r="ZH40" s="42"/>
      <c r="ZI40" s="42"/>
      <c r="ZJ40" s="42"/>
      <c r="ZK40" s="42"/>
      <c r="ZL40" s="42"/>
      <c r="ZM40" s="42"/>
      <c r="ZN40" s="42"/>
      <c r="ZO40" s="42"/>
      <c r="ZP40" s="42"/>
      <c r="ZQ40" s="42"/>
      <c r="ZR40" s="42"/>
      <c r="ZS40" s="42"/>
      <c r="ZT40" s="42"/>
      <c r="ZU40" s="42"/>
      <c r="ZV40" s="42"/>
      <c r="ZW40" s="42"/>
      <c r="ZX40" s="42"/>
      <c r="ZY40" s="42"/>
      <c r="ZZ40" s="42"/>
      <c r="AAA40" s="42"/>
      <c r="AAB40" s="42"/>
      <c r="AAC40" s="42"/>
      <c r="AAD40" s="42"/>
      <c r="AAE40" s="42"/>
      <c r="AAF40" s="42"/>
      <c r="AAG40" s="42"/>
      <c r="AAH40" s="42"/>
      <c r="AAI40" s="42"/>
      <c r="AAJ40" s="42"/>
      <c r="AAK40" s="42"/>
      <c r="AAL40" s="42"/>
      <c r="AAM40" s="42"/>
      <c r="AAN40" s="42"/>
      <c r="AAO40" s="42"/>
      <c r="AAP40" s="42"/>
      <c r="AAQ40" s="42"/>
      <c r="AAR40" s="42"/>
      <c r="AAS40" s="42"/>
      <c r="AAT40" s="42"/>
      <c r="AAU40" s="42"/>
      <c r="AAV40" s="42"/>
      <c r="AAW40" s="42"/>
      <c r="AAX40" s="42"/>
      <c r="AAY40" s="42"/>
      <c r="AAZ40" s="42"/>
      <c r="ABA40" s="42"/>
      <c r="ABB40" s="42"/>
      <c r="ABC40" s="42"/>
      <c r="ABD40" s="42"/>
      <c r="ABE40" s="42"/>
      <c r="ABF40" s="42"/>
      <c r="ABG40" s="42"/>
      <c r="ABH40" s="42"/>
      <c r="ABI40" s="42"/>
      <c r="ABJ40" s="42"/>
      <c r="ABK40" s="42"/>
      <c r="ABL40" s="42"/>
      <c r="ABM40" s="42"/>
      <c r="ABN40" s="42"/>
      <c r="ABO40" s="42"/>
      <c r="ABP40" s="42"/>
      <c r="ABQ40" s="42"/>
      <c r="ABR40" s="42"/>
      <c r="ABS40" s="42"/>
      <c r="ABT40" s="42"/>
      <c r="ABU40" s="42"/>
      <c r="ABV40" s="42"/>
      <c r="ABW40" s="42"/>
      <c r="ABX40" s="42"/>
      <c r="ABY40" s="42"/>
      <c r="ABZ40" s="42"/>
      <c r="ACA40" s="42"/>
      <c r="ACB40" s="42"/>
      <c r="ACC40" s="42"/>
      <c r="ACD40" s="42"/>
      <c r="ACE40" s="42"/>
      <c r="ACF40" s="42"/>
      <c r="ACG40" s="42"/>
      <c r="ACH40" s="42"/>
      <c r="ACI40" s="42"/>
      <c r="ACJ40" s="42"/>
      <c r="ACK40" s="42"/>
      <c r="ACL40" s="42"/>
      <c r="ACM40" s="42"/>
      <c r="ACN40" s="42"/>
      <c r="ACO40" s="42"/>
      <c r="ACP40" s="42"/>
      <c r="ACQ40" s="42"/>
      <c r="ACR40" s="42"/>
      <c r="ACS40" s="42"/>
      <c r="ACT40" s="42"/>
      <c r="ACU40" s="42"/>
      <c r="ACV40" s="42"/>
      <c r="ACW40" s="42"/>
      <c r="ACX40" s="42"/>
      <c r="ACY40" s="42"/>
      <c r="ACZ40" s="42"/>
      <c r="ADA40" s="42"/>
      <c r="ADB40" s="42"/>
      <c r="ADC40" s="42"/>
      <c r="ADD40" s="42"/>
      <c r="ADE40" s="42"/>
      <c r="ADF40" s="42"/>
      <c r="ADG40" s="42"/>
      <c r="ADH40" s="42"/>
      <c r="ADI40" s="42"/>
      <c r="ADJ40" s="42"/>
      <c r="ADK40" s="42"/>
      <c r="ADL40" s="42"/>
      <c r="ADM40" s="42"/>
      <c r="ADN40" s="42"/>
      <c r="ADO40" s="42"/>
      <c r="ADP40" s="42"/>
      <c r="ADQ40" s="42"/>
      <c r="ADR40" s="42"/>
      <c r="ADS40" s="42"/>
      <c r="ADT40" s="42"/>
      <c r="ADU40" s="42"/>
      <c r="ADV40" s="42"/>
      <c r="ADW40" s="42"/>
      <c r="ADX40" s="42"/>
      <c r="ADY40" s="42"/>
      <c r="ADZ40" s="42"/>
      <c r="AEA40" s="42"/>
      <c r="AEB40" s="42"/>
      <c r="AEC40" s="42"/>
      <c r="AED40" s="42"/>
      <c r="AEE40" s="42"/>
      <c r="AEF40" s="42"/>
      <c r="AEG40" s="42"/>
      <c r="AEH40" s="42"/>
      <c r="AEI40" s="42"/>
      <c r="AEJ40" s="42"/>
      <c r="AEK40" s="42"/>
      <c r="AEL40" s="42"/>
      <c r="AEM40" s="42"/>
      <c r="AEN40" s="42"/>
      <c r="AEO40" s="42"/>
      <c r="AEP40" s="42"/>
      <c r="AEQ40" s="42"/>
      <c r="AER40" s="42"/>
      <c r="AES40" s="42"/>
      <c r="AET40" s="42"/>
      <c r="AEU40" s="42"/>
      <c r="AEV40" s="42"/>
      <c r="AEW40" s="42"/>
      <c r="AEX40" s="42"/>
      <c r="AEY40" s="42"/>
      <c r="AEZ40" s="42"/>
      <c r="AFA40" s="42"/>
      <c r="AFB40" s="42"/>
      <c r="AFC40" s="42"/>
      <c r="AFD40" s="42"/>
      <c r="AFE40" s="42"/>
      <c r="AFF40" s="42"/>
      <c r="AFG40" s="42"/>
      <c r="AFH40" s="42"/>
      <c r="AFI40" s="42"/>
      <c r="AFJ40" s="42"/>
      <c r="AFK40" s="42"/>
      <c r="AFL40" s="42"/>
      <c r="AFM40" s="42"/>
      <c r="AFN40" s="42"/>
      <c r="AFO40" s="42"/>
      <c r="AFP40" s="42"/>
      <c r="AFQ40" s="42"/>
      <c r="AFR40" s="42"/>
      <c r="AFS40" s="42"/>
      <c r="AFT40" s="42"/>
      <c r="AFU40" s="42"/>
      <c r="AFV40" s="42"/>
      <c r="AFW40" s="42"/>
      <c r="AFX40" s="42"/>
      <c r="AFY40" s="42"/>
      <c r="AFZ40" s="42"/>
      <c r="AGA40" s="42"/>
      <c r="AGB40" s="42"/>
      <c r="AGC40" s="42"/>
      <c r="AGD40" s="42"/>
      <c r="AGE40" s="42"/>
      <c r="AGF40" s="42"/>
      <c r="AGG40" s="42"/>
      <c r="AGH40" s="42"/>
      <c r="AGI40" s="42"/>
      <c r="AGJ40" s="42"/>
      <c r="AGK40" s="42"/>
      <c r="AGL40" s="42"/>
      <c r="AGM40" s="42"/>
      <c r="AGN40" s="42"/>
      <c r="AGO40" s="42"/>
      <c r="AGP40" s="42"/>
      <c r="AGQ40" s="42"/>
      <c r="AGR40" s="42"/>
      <c r="AGS40" s="42"/>
      <c r="AGT40" s="42"/>
      <c r="AGU40" s="42"/>
      <c r="AGV40" s="42"/>
      <c r="AGW40" s="42"/>
      <c r="AGX40" s="42"/>
      <c r="AGY40" s="42"/>
      <c r="AGZ40" s="42"/>
      <c r="AHA40" s="42"/>
      <c r="AHB40" s="42"/>
      <c r="AHC40" s="42"/>
      <c r="AHD40" s="42"/>
      <c r="AHE40" s="42"/>
      <c r="AHF40" s="42"/>
      <c r="AHG40" s="42"/>
      <c r="AHH40" s="42"/>
      <c r="AHI40" s="42"/>
      <c r="AHJ40" s="42"/>
      <c r="AHK40" s="42"/>
      <c r="AHL40" s="42"/>
      <c r="AHM40" s="42"/>
      <c r="AHN40" s="42"/>
      <c r="AHO40" s="42"/>
      <c r="AHP40" s="42"/>
      <c r="AHQ40" s="42"/>
      <c r="AHR40" s="42"/>
      <c r="AHS40" s="42"/>
      <c r="AHT40" s="42"/>
      <c r="AHU40" s="42"/>
      <c r="AHV40" s="42"/>
      <c r="AHW40" s="42"/>
      <c r="AHX40" s="42"/>
      <c r="AHY40" s="42"/>
      <c r="AHZ40" s="42"/>
      <c r="AIA40" s="42"/>
      <c r="AIB40" s="42"/>
      <c r="AIC40" s="42"/>
      <c r="AID40" s="42"/>
      <c r="AIE40" s="42"/>
      <c r="AIF40" s="42"/>
      <c r="AIG40" s="42"/>
      <c r="AIH40" s="42"/>
      <c r="AII40" s="42"/>
      <c r="AIJ40" s="42"/>
      <c r="AIK40" s="42"/>
      <c r="AIL40" s="42"/>
      <c r="AIM40" s="42"/>
      <c r="AIN40" s="42"/>
      <c r="AIO40" s="42"/>
      <c r="AIP40" s="42"/>
      <c r="AIQ40" s="42"/>
      <c r="AIR40" s="42"/>
      <c r="AIS40" s="42"/>
      <c r="AIT40" s="42"/>
      <c r="AIU40" s="42"/>
      <c r="AIV40" s="42"/>
      <c r="AIW40" s="42"/>
      <c r="AIX40" s="42"/>
      <c r="AIY40" s="42"/>
      <c r="AIZ40" s="42"/>
      <c r="AJA40" s="42"/>
      <c r="AJB40" s="42"/>
      <c r="AJC40" s="42"/>
      <c r="AJD40" s="42"/>
      <c r="AJE40" s="42"/>
      <c r="AJF40" s="42"/>
      <c r="AJG40" s="42"/>
      <c r="AJH40" s="42"/>
      <c r="AJI40" s="42"/>
      <c r="AJJ40" s="42"/>
      <c r="AJK40" s="42"/>
      <c r="AJL40" s="42"/>
      <c r="AJM40" s="42"/>
      <c r="AJN40" s="42"/>
      <c r="AJO40" s="42"/>
      <c r="AJP40" s="42"/>
      <c r="AJQ40" s="42"/>
      <c r="AJR40" s="42"/>
      <c r="AJS40" s="42"/>
      <c r="AJT40" s="42"/>
      <c r="AJU40" s="42"/>
      <c r="AJV40" s="42"/>
      <c r="AJW40" s="42"/>
      <c r="AJX40" s="42"/>
      <c r="AJY40" s="42"/>
      <c r="AJZ40" s="42"/>
      <c r="AKA40" s="42"/>
      <c r="AKB40" s="42"/>
      <c r="AKC40" s="42"/>
      <c r="AKD40" s="42"/>
      <c r="AKE40" s="42"/>
      <c r="AKF40" s="42"/>
      <c r="AKG40" s="42"/>
      <c r="AKH40" s="42"/>
      <c r="AKI40" s="42"/>
      <c r="AKJ40" s="42"/>
      <c r="AKK40" s="42"/>
      <c r="AKL40" s="42"/>
      <c r="AKM40" s="42"/>
      <c r="AKN40" s="42"/>
      <c r="AKO40" s="42"/>
      <c r="AKP40" s="42"/>
      <c r="AKQ40" s="42"/>
      <c r="AKR40" s="42"/>
      <c r="AKS40" s="42"/>
      <c r="AKT40" s="42"/>
      <c r="AKU40" s="42"/>
      <c r="AKV40" s="42"/>
      <c r="AKW40" s="42"/>
      <c r="AKX40" s="42"/>
      <c r="AKY40" s="42"/>
      <c r="AKZ40" s="42"/>
      <c r="ALA40" s="42"/>
      <c r="ALB40" s="42"/>
      <c r="ALC40" s="42"/>
      <c r="ALD40" s="42"/>
      <c r="ALE40" s="42"/>
      <c r="ALF40" s="42"/>
      <c r="ALG40" s="42"/>
      <c r="ALH40" s="42"/>
      <c r="ALI40" s="42"/>
      <c r="ALJ40" s="42"/>
      <c r="ALK40" s="42"/>
      <c r="ALL40" s="42"/>
      <c r="ALM40" s="42"/>
      <c r="ALN40" s="42"/>
      <c r="ALO40" s="42"/>
      <c r="ALP40" s="42"/>
      <c r="ALQ40" s="42"/>
      <c r="ALR40" s="42"/>
      <c r="ALS40" s="42"/>
      <c r="ALT40" s="42"/>
      <c r="ALU40" s="42"/>
      <c r="ALV40" s="42"/>
      <c r="ALW40" s="42"/>
      <c r="ALX40" s="42"/>
      <c r="ALY40" s="42"/>
      <c r="ALZ40" s="42"/>
      <c r="AMA40" s="42"/>
      <c r="AMB40" s="42"/>
      <c r="AMC40" s="42"/>
      <c r="AMD40" s="42"/>
      <c r="AME40" s="42"/>
    </row>
    <row r="41" spans="1:1019" customFormat="1" x14ac:dyDescent="0.25">
      <c r="A41" s="57"/>
      <c r="B41" s="55"/>
      <c r="C41" s="128"/>
      <c r="D41" s="145"/>
      <c r="E41" s="76"/>
      <c r="F41" s="5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</row>
    <row r="42" spans="1:1019" customFormat="1" x14ac:dyDescent="0.25">
      <c r="A42" s="57"/>
      <c r="B42" s="55" t="s">
        <v>324</v>
      </c>
      <c r="C42" s="128">
        <f>2.5+1</f>
        <v>3.5</v>
      </c>
      <c r="D42" s="145" t="s">
        <v>41</v>
      </c>
      <c r="E42" s="76">
        <v>200</v>
      </c>
      <c r="F42" s="53">
        <f>IF(C42&gt;0,C42*E42,"")</f>
        <v>700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</row>
    <row r="43" spans="1:1019" customFormat="1" x14ac:dyDescent="0.25">
      <c r="A43" s="57"/>
      <c r="B43" s="55"/>
      <c r="C43" s="128"/>
      <c r="D43" s="145"/>
      <c r="E43" s="76"/>
      <c r="F43" s="5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  <c r="MH43" s="42"/>
      <c r="MI43" s="42"/>
      <c r="MJ43" s="42"/>
      <c r="MK43" s="42"/>
      <c r="ML43" s="42"/>
      <c r="MM43" s="42"/>
      <c r="MN43" s="42"/>
      <c r="MO43" s="42"/>
      <c r="MP43" s="42"/>
      <c r="MQ43" s="42"/>
      <c r="MR43" s="42"/>
      <c r="MS43" s="42"/>
      <c r="MT43" s="42"/>
      <c r="MU43" s="42"/>
      <c r="MV43" s="42"/>
      <c r="MW43" s="42"/>
      <c r="MX43" s="42"/>
      <c r="MY43" s="42"/>
      <c r="MZ43" s="42"/>
      <c r="NA43" s="42"/>
      <c r="NB43" s="42"/>
      <c r="NC43" s="42"/>
      <c r="ND43" s="42"/>
      <c r="NE43" s="42"/>
      <c r="NF43" s="42"/>
      <c r="NG43" s="42"/>
      <c r="NH43" s="42"/>
      <c r="NI43" s="42"/>
      <c r="NJ43" s="42"/>
      <c r="NK43" s="42"/>
      <c r="NL43" s="42"/>
      <c r="NM43" s="42"/>
      <c r="NN43" s="42"/>
      <c r="NO43" s="42"/>
      <c r="NP43" s="42"/>
      <c r="NQ43" s="42"/>
      <c r="NR43" s="42"/>
      <c r="NS43" s="42"/>
      <c r="NT43" s="42"/>
      <c r="NU43" s="42"/>
      <c r="NV43" s="42"/>
      <c r="NW43" s="42"/>
      <c r="NX43" s="42"/>
      <c r="NY43" s="42"/>
      <c r="NZ43" s="42"/>
      <c r="OA43" s="42"/>
      <c r="OB43" s="42"/>
      <c r="OC43" s="42"/>
      <c r="OD43" s="42"/>
      <c r="OE43" s="42"/>
      <c r="OF43" s="42"/>
      <c r="OG43" s="42"/>
      <c r="OH43" s="42"/>
      <c r="OI43" s="42"/>
      <c r="OJ43" s="42"/>
      <c r="OK43" s="42"/>
      <c r="OL43" s="42"/>
      <c r="OM43" s="42"/>
      <c r="ON43" s="42"/>
      <c r="OO43" s="42"/>
      <c r="OP43" s="42"/>
      <c r="OQ43" s="42"/>
      <c r="OR43" s="42"/>
      <c r="OS43" s="42"/>
      <c r="OT43" s="42"/>
      <c r="OU43" s="42"/>
      <c r="OV43" s="42"/>
      <c r="OW43" s="42"/>
      <c r="OX43" s="42"/>
      <c r="OY43" s="42"/>
      <c r="OZ43" s="42"/>
      <c r="PA43" s="42"/>
      <c r="PB43" s="42"/>
      <c r="PC43" s="42"/>
      <c r="PD43" s="42"/>
      <c r="PE43" s="42"/>
      <c r="PF43" s="42"/>
      <c r="PG43" s="42"/>
      <c r="PH43" s="42"/>
      <c r="PI43" s="42"/>
      <c r="PJ43" s="42"/>
      <c r="PK43" s="42"/>
      <c r="PL43" s="42"/>
      <c r="PM43" s="42"/>
      <c r="PN43" s="42"/>
      <c r="PO43" s="42"/>
      <c r="PP43" s="42"/>
      <c r="PQ43" s="42"/>
      <c r="PR43" s="42"/>
      <c r="PS43" s="42"/>
      <c r="PT43" s="42"/>
      <c r="PU43" s="42"/>
      <c r="PV43" s="42"/>
      <c r="PW43" s="42"/>
      <c r="PX43" s="42"/>
      <c r="PY43" s="42"/>
      <c r="PZ43" s="42"/>
      <c r="QA43" s="42"/>
      <c r="QB43" s="42"/>
      <c r="QC43" s="42"/>
      <c r="QD43" s="42"/>
      <c r="QE43" s="42"/>
      <c r="QF43" s="42"/>
      <c r="QG43" s="42"/>
      <c r="QH43" s="42"/>
      <c r="QI43" s="42"/>
      <c r="QJ43" s="42"/>
      <c r="QK43" s="42"/>
      <c r="QL43" s="42"/>
      <c r="QM43" s="42"/>
      <c r="QN43" s="42"/>
      <c r="QO43" s="42"/>
      <c r="QP43" s="42"/>
      <c r="QQ43" s="42"/>
      <c r="QR43" s="42"/>
      <c r="QS43" s="42"/>
      <c r="QT43" s="42"/>
      <c r="QU43" s="42"/>
      <c r="QV43" s="42"/>
      <c r="QW43" s="42"/>
      <c r="QX43" s="42"/>
      <c r="QY43" s="42"/>
      <c r="QZ43" s="42"/>
      <c r="RA43" s="42"/>
      <c r="RB43" s="42"/>
      <c r="RC43" s="42"/>
      <c r="RD43" s="42"/>
      <c r="RE43" s="42"/>
      <c r="RF43" s="42"/>
      <c r="RG43" s="42"/>
      <c r="RH43" s="42"/>
      <c r="RI43" s="42"/>
      <c r="RJ43" s="42"/>
      <c r="RK43" s="42"/>
      <c r="RL43" s="42"/>
      <c r="RM43" s="42"/>
      <c r="RN43" s="42"/>
      <c r="RO43" s="42"/>
      <c r="RP43" s="42"/>
      <c r="RQ43" s="42"/>
      <c r="RR43" s="42"/>
      <c r="RS43" s="42"/>
      <c r="RT43" s="42"/>
      <c r="RU43" s="42"/>
      <c r="RV43" s="42"/>
      <c r="RW43" s="42"/>
      <c r="RX43" s="42"/>
      <c r="RY43" s="42"/>
      <c r="RZ43" s="42"/>
      <c r="SA43" s="42"/>
      <c r="SB43" s="42"/>
      <c r="SC43" s="42"/>
      <c r="SD43" s="42"/>
      <c r="SE43" s="42"/>
      <c r="SF43" s="42"/>
      <c r="SG43" s="42"/>
      <c r="SH43" s="42"/>
      <c r="SI43" s="42"/>
      <c r="SJ43" s="42"/>
      <c r="SK43" s="42"/>
      <c r="SL43" s="42"/>
      <c r="SM43" s="42"/>
      <c r="SN43" s="42"/>
      <c r="SO43" s="42"/>
      <c r="SP43" s="42"/>
      <c r="SQ43" s="42"/>
      <c r="SR43" s="42"/>
      <c r="SS43" s="42"/>
      <c r="ST43" s="42"/>
      <c r="SU43" s="42"/>
      <c r="SV43" s="42"/>
      <c r="SW43" s="42"/>
      <c r="SX43" s="42"/>
      <c r="SY43" s="42"/>
      <c r="SZ43" s="42"/>
      <c r="TA43" s="42"/>
      <c r="TB43" s="42"/>
      <c r="TC43" s="42"/>
      <c r="TD43" s="42"/>
      <c r="TE43" s="42"/>
      <c r="TF43" s="42"/>
      <c r="TG43" s="42"/>
      <c r="TH43" s="42"/>
      <c r="TI43" s="42"/>
      <c r="TJ43" s="42"/>
      <c r="TK43" s="42"/>
      <c r="TL43" s="42"/>
      <c r="TM43" s="42"/>
      <c r="TN43" s="42"/>
      <c r="TO43" s="42"/>
      <c r="TP43" s="42"/>
      <c r="TQ43" s="42"/>
      <c r="TR43" s="42"/>
      <c r="TS43" s="42"/>
      <c r="TT43" s="42"/>
      <c r="TU43" s="42"/>
      <c r="TV43" s="42"/>
      <c r="TW43" s="42"/>
      <c r="TX43" s="42"/>
      <c r="TY43" s="42"/>
      <c r="TZ43" s="42"/>
      <c r="UA43" s="42"/>
      <c r="UB43" s="42"/>
      <c r="UC43" s="42"/>
      <c r="UD43" s="42"/>
      <c r="UE43" s="42"/>
      <c r="UF43" s="42"/>
      <c r="UG43" s="42"/>
      <c r="UH43" s="42"/>
      <c r="UI43" s="42"/>
      <c r="UJ43" s="42"/>
      <c r="UK43" s="42"/>
      <c r="UL43" s="42"/>
      <c r="UM43" s="42"/>
      <c r="UN43" s="42"/>
      <c r="UO43" s="42"/>
      <c r="UP43" s="42"/>
      <c r="UQ43" s="42"/>
      <c r="UR43" s="42"/>
      <c r="US43" s="42"/>
      <c r="UT43" s="42"/>
      <c r="UU43" s="42"/>
      <c r="UV43" s="42"/>
      <c r="UW43" s="42"/>
      <c r="UX43" s="42"/>
      <c r="UY43" s="42"/>
      <c r="UZ43" s="42"/>
      <c r="VA43" s="42"/>
      <c r="VB43" s="42"/>
      <c r="VC43" s="42"/>
      <c r="VD43" s="42"/>
      <c r="VE43" s="42"/>
      <c r="VF43" s="42"/>
      <c r="VG43" s="42"/>
      <c r="VH43" s="42"/>
      <c r="VI43" s="42"/>
      <c r="VJ43" s="42"/>
      <c r="VK43" s="42"/>
      <c r="VL43" s="42"/>
      <c r="VM43" s="42"/>
      <c r="VN43" s="42"/>
      <c r="VO43" s="42"/>
      <c r="VP43" s="42"/>
      <c r="VQ43" s="42"/>
      <c r="VR43" s="42"/>
      <c r="VS43" s="42"/>
      <c r="VT43" s="42"/>
      <c r="VU43" s="42"/>
      <c r="VV43" s="42"/>
      <c r="VW43" s="42"/>
      <c r="VX43" s="42"/>
      <c r="VY43" s="42"/>
      <c r="VZ43" s="42"/>
      <c r="WA43" s="42"/>
      <c r="WB43" s="42"/>
      <c r="WC43" s="42"/>
      <c r="WD43" s="42"/>
      <c r="WE43" s="42"/>
      <c r="WF43" s="42"/>
      <c r="WG43" s="42"/>
      <c r="WH43" s="42"/>
      <c r="WI43" s="42"/>
      <c r="WJ43" s="42"/>
      <c r="WK43" s="42"/>
      <c r="WL43" s="42"/>
      <c r="WM43" s="42"/>
      <c r="WN43" s="42"/>
      <c r="WO43" s="42"/>
      <c r="WP43" s="42"/>
      <c r="WQ43" s="42"/>
      <c r="WR43" s="42"/>
      <c r="WS43" s="42"/>
      <c r="WT43" s="42"/>
      <c r="WU43" s="42"/>
      <c r="WV43" s="42"/>
      <c r="WW43" s="42"/>
      <c r="WX43" s="42"/>
      <c r="WY43" s="42"/>
      <c r="WZ43" s="42"/>
      <c r="XA43" s="42"/>
      <c r="XB43" s="42"/>
      <c r="XC43" s="42"/>
      <c r="XD43" s="42"/>
      <c r="XE43" s="42"/>
      <c r="XF43" s="42"/>
      <c r="XG43" s="42"/>
      <c r="XH43" s="42"/>
      <c r="XI43" s="42"/>
      <c r="XJ43" s="42"/>
      <c r="XK43" s="42"/>
      <c r="XL43" s="42"/>
      <c r="XM43" s="42"/>
      <c r="XN43" s="42"/>
      <c r="XO43" s="42"/>
      <c r="XP43" s="42"/>
      <c r="XQ43" s="42"/>
      <c r="XR43" s="42"/>
      <c r="XS43" s="42"/>
      <c r="XT43" s="42"/>
      <c r="XU43" s="42"/>
      <c r="XV43" s="42"/>
      <c r="XW43" s="42"/>
      <c r="XX43" s="42"/>
      <c r="XY43" s="42"/>
      <c r="XZ43" s="42"/>
      <c r="YA43" s="42"/>
      <c r="YB43" s="42"/>
      <c r="YC43" s="42"/>
      <c r="YD43" s="42"/>
      <c r="YE43" s="42"/>
      <c r="YF43" s="42"/>
      <c r="YG43" s="42"/>
      <c r="YH43" s="42"/>
      <c r="YI43" s="42"/>
      <c r="YJ43" s="42"/>
      <c r="YK43" s="42"/>
      <c r="YL43" s="42"/>
      <c r="YM43" s="42"/>
      <c r="YN43" s="42"/>
      <c r="YO43" s="42"/>
      <c r="YP43" s="42"/>
      <c r="YQ43" s="42"/>
      <c r="YR43" s="42"/>
      <c r="YS43" s="42"/>
      <c r="YT43" s="42"/>
      <c r="YU43" s="42"/>
      <c r="YV43" s="42"/>
      <c r="YW43" s="42"/>
      <c r="YX43" s="42"/>
      <c r="YY43" s="42"/>
      <c r="YZ43" s="42"/>
      <c r="ZA43" s="42"/>
      <c r="ZB43" s="42"/>
      <c r="ZC43" s="42"/>
      <c r="ZD43" s="42"/>
      <c r="ZE43" s="42"/>
      <c r="ZF43" s="42"/>
      <c r="ZG43" s="42"/>
      <c r="ZH43" s="42"/>
      <c r="ZI43" s="42"/>
      <c r="ZJ43" s="42"/>
      <c r="ZK43" s="42"/>
      <c r="ZL43" s="42"/>
      <c r="ZM43" s="42"/>
      <c r="ZN43" s="42"/>
      <c r="ZO43" s="42"/>
      <c r="ZP43" s="42"/>
      <c r="ZQ43" s="42"/>
      <c r="ZR43" s="42"/>
      <c r="ZS43" s="42"/>
      <c r="ZT43" s="42"/>
      <c r="ZU43" s="42"/>
      <c r="ZV43" s="42"/>
      <c r="ZW43" s="42"/>
      <c r="ZX43" s="42"/>
      <c r="ZY43" s="42"/>
      <c r="ZZ43" s="42"/>
      <c r="AAA43" s="42"/>
      <c r="AAB43" s="42"/>
      <c r="AAC43" s="42"/>
      <c r="AAD43" s="42"/>
      <c r="AAE43" s="42"/>
      <c r="AAF43" s="42"/>
      <c r="AAG43" s="42"/>
      <c r="AAH43" s="42"/>
      <c r="AAI43" s="42"/>
      <c r="AAJ43" s="42"/>
      <c r="AAK43" s="42"/>
      <c r="AAL43" s="42"/>
      <c r="AAM43" s="42"/>
      <c r="AAN43" s="42"/>
      <c r="AAO43" s="42"/>
      <c r="AAP43" s="42"/>
      <c r="AAQ43" s="42"/>
      <c r="AAR43" s="42"/>
      <c r="AAS43" s="42"/>
      <c r="AAT43" s="42"/>
      <c r="AAU43" s="42"/>
      <c r="AAV43" s="42"/>
      <c r="AAW43" s="42"/>
      <c r="AAX43" s="42"/>
      <c r="AAY43" s="42"/>
      <c r="AAZ43" s="42"/>
      <c r="ABA43" s="42"/>
      <c r="ABB43" s="42"/>
      <c r="ABC43" s="42"/>
      <c r="ABD43" s="42"/>
      <c r="ABE43" s="42"/>
      <c r="ABF43" s="42"/>
      <c r="ABG43" s="42"/>
      <c r="ABH43" s="42"/>
      <c r="ABI43" s="42"/>
      <c r="ABJ43" s="42"/>
      <c r="ABK43" s="42"/>
      <c r="ABL43" s="42"/>
      <c r="ABM43" s="42"/>
      <c r="ABN43" s="42"/>
      <c r="ABO43" s="42"/>
      <c r="ABP43" s="42"/>
      <c r="ABQ43" s="42"/>
      <c r="ABR43" s="42"/>
      <c r="ABS43" s="42"/>
      <c r="ABT43" s="42"/>
      <c r="ABU43" s="42"/>
      <c r="ABV43" s="42"/>
      <c r="ABW43" s="42"/>
      <c r="ABX43" s="42"/>
      <c r="ABY43" s="42"/>
      <c r="ABZ43" s="42"/>
      <c r="ACA43" s="42"/>
      <c r="ACB43" s="42"/>
      <c r="ACC43" s="42"/>
      <c r="ACD43" s="42"/>
      <c r="ACE43" s="42"/>
      <c r="ACF43" s="42"/>
      <c r="ACG43" s="42"/>
      <c r="ACH43" s="42"/>
      <c r="ACI43" s="42"/>
      <c r="ACJ43" s="42"/>
      <c r="ACK43" s="42"/>
      <c r="ACL43" s="42"/>
      <c r="ACM43" s="42"/>
      <c r="ACN43" s="42"/>
      <c r="ACO43" s="42"/>
      <c r="ACP43" s="42"/>
      <c r="ACQ43" s="42"/>
      <c r="ACR43" s="42"/>
      <c r="ACS43" s="42"/>
      <c r="ACT43" s="42"/>
      <c r="ACU43" s="42"/>
      <c r="ACV43" s="42"/>
      <c r="ACW43" s="42"/>
      <c r="ACX43" s="42"/>
      <c r="ACY43" s="42"/>
      <c r="ACZ43" s="42"/>
      <c r="ADA43" s="42"/>
      <c r="ADB43" s="42"/>
      <c r="ADC43" s="42"/>
      <c r="ADD43" s="42"/>
      <c r="ADE43" s="42"/>
      <c r="ADF43" s="42"/>
      <c r="ADG43" s="42"/>
      <c r="ADH43" s="42"/>
      <c r="ADI43" s="42"/>
      <c r="ADJ43" s="42"/>
      <c r="ADK43" s="42"/>
      <c r="ADL43" s="42"/>
      <c r="ADM43" s="42"/>
      <c r="ADN43" s="42"/>
      <c r="ADO43" s="42"/>
      <c r="ADP43" s="42"/>
      <c r="ADQ43" s="42"/>
      <c r="ADR43" s="42"/>
      <c r="ADS43" s="42"/>
      <c r="ADT43" s="42"/>
      <c r="ADU43" s="42"/>
      <c r="ADV43" s="42"/>
      <c r="ADW43" s="42"/>
      <c r="ADX43" s="42"/>
      <c r="ADY43" s="42"/>
      <c r="ADZ43" s="42"/>
      <c r="AEA43" s="42"/>
      <c r="AEB43" s="42"/>
      <c r="AEC43" s="42"/>
      <c r="AED43" s="42"/>
      <c r="AEE43" s="42"/>
      <c r="AEF43" s="42"/>
      <c r="AEG43" s="42"/>
      <c r="AEH43" s="42"/>
      <c r="AEI43" s="42"/>
      <c r="AEJ43" s="42"/>
      <c r="AEK43" s="42"/>
      <c r="AEL43" s="42"/>
      <c r="AEM43" s="42"/>
      <c r="AEN43" s="42"/>
      <c r="AEO43" s="42"/>
      <c r="AEP43" s="42"/>
      <c r="AEQ43" s="42"/>
      <c r="AER43" s="42"/>
      <c r="AES43" s="42"/>
      <c r="AET43" s="42"/>
      <c r="AEU43" s="42"/>
      <c r="AEV43" s="42"/>
      <c r="AEW43" s="42"/>
      <c r="AEX43" s="42"/>
      <c r="AEY43" s="42"/>
      <c r="AEZ43" s="42"/>
      <c r="AFA43" s="42"/>
      <c r="AFB43" s="42"/>
      <c r="AFC43" s="42"/>
      <c r="AFD43" s="42"/>
      <c r="AFE43" s="42"/>
      <c r="AFF43" s="42"/>
      <c r="AFG43" s="42"/>
      <c r="AFH43" s="42"/>
      <c r="AFI43" s="42"/>
      <c r="AFJ43" s="42"/>
      <c r="AFK43" s="42"/>
      <c r="AFL43" s="42"/>
      <c r="AFM43" s="42"/>
      <c r="AFN43" s="42"/>
      <c r="AFO43" s="42"/>
      <c r="AFP43" s="42"/>
      <c r="AFQ43" s="42"/>
      <c r="AFR43" s="42"/>
      <c r="AFS43" s="42"/>
      <c r="AFT43" s="42"/>
      <c r="AFU43" s="42"/>
      <c r="AFV43" s="42"/>
      <c r="AFW43" s="42"/>
      <c r="AFX43" s="42"/>
      <c r="AFY43" s="42"/>
      <c r="AFZ43" s="42"/>
      <c r="AGA43" s="42"/>
      <c r="AGB43" s="42"/>
      <c r="AGC43" s="42"/>
      <c r="AGD43" s="42"/>
      <c r="AGE43" s="42"/>
      <c r="AGF43" s="42"/>
      <c r="AGG43" s="42"/>
      <c r="AGH43" s="42"/>
      <c r="AGI43" s="42"/>
      <c r="AGJ43" s="42"/>
      <c r="AGK43" s="42"/>
      <c r="AGL43" s="42"/>
      <c r="AGM43" s="42"/>
      <c r="AGN43" s="42"/>
      <c r="AGO43" s="42"/>
      <c r="AGP43" s="42"/>
      <c r="AGQ43" s="42"/>
      <c r="AGR43" s="42"/>
      <c r="AGS43" s="42"/>
      <c r="AGT43" s="42"/>
      <c r="AGU43" s="42"/>
      <c r="AGV43" s="42"/>
      <c r="AGW43" s="42"/>
      <c r="AGX43" s="42"/>
      <c r="AGY43" s="42"/>
      <c r="AGZ43" s="42"/>
      <c r="AHA43" s="42"/>
      <c r="AHB43" s="42"/>
      <c r="AHC43" s="42"/>
      <c r="AHD43" s="42"/>
      <c r="AHE43" s="42"/>
      <c r="AHF43" s="42"/>
      <c r="AHG43" s="42"/>
      <c r="AHH43" s="42"/>
      <c r="AHI43" s="42"/>
      <c r="AHJ43" s="42"/>
      <c r="AHK43" s="42"/>
      <c r="AHL43" s="42"/>
      <c r="AHM43" s="42"/>
      <c r="AHN43" s="42"/>
      <c r="AHO43" s="42"/>
      <c r="AHP43" s="42"/>
      <c r="AHQ43" s="42"/>
      <c r="AHR43" s="42"/>
      <c r="AHS43" s="42"/>
      <c r="AHT43" s="42"/>
      <c r="AHU43" s="42"/>
      <c r="AHV43" s="42"/>
      <c r="AHW43" s="42"/>
      <c r="AHX43" s="42"/>
      <c r="AHY43" s="42"/>
      <c r="AHZ43" s="42"/>
      <c r="AIA43" s="42"/>
      <c r="AIB43" s="42"/>
      <c r="AIC43" s="42"/>
      <c r="AID43" s="42"/>
      <c r="AIE43" s="42"/>
      <c r="AIF43" s="42"/>
      <c r="AIG43" s="42"/>
      <c r="AIH43" s="42"/>
      <c r="AII43" s="42"/>
      <c r="AIJ43" s="42"/>
      <c r="AIK43" s="42"/>
      <c r="AIL43" s="42"/>
      <c r="AIM43" s="42"/>
      <c r="AIN43" s="42"/>
      <c r="AIO43" s="42"/>
      <c r="AIP43" s="42"/>
      <c r="AIQ43" s="42"/>
      <c r="AIR43" s="42"/>
      <c r="AIS43" s="42"/>
      <c r="AIT43" s="42"/>
      <c r="AIU43" s="42"/>
      <c r="AIV43" s="42"/>
      <c r="AIW43" s="42"/>
      <c r="AIX43" s="42"/>
      <c r="AIY43" s="42"/>
      <c r="AIZ43" s="42"/>
      <c r="AJA43" s="42"/>
      <c r="AJB43" s="42"/>
      <c r="AJC43" s="42"/>
      <c r="AJD43" s="42"/>
      <c r="AJE43" s="42"/>
      <c r="AJF43" s="42"/>
      <c r="AJG43" s="42"/>
      <c r="AJH43" s="42"/>
      <c r="AJI43" s="42"/>
      <c r="AJJ43" s="42"/>
      <c r="AJK43" s="42"/>
      <c r="AJL43" s="42"/>
      <c r="AJM43" s="42"/>
      <c r="AJN43" s="42"/>
      <c r="AJO43" s="42"/>
      <c r="AJP43" s="42"/>
      <c r="AJQ43" s="42"/>
      <c r="AJR43" s="42"/>
      <c r="AJS43" s="42"/>
      <c r="AJT43" s="42"/>
      <c r="AJU43" s="42"/>
      <c r="AJV43" s="42"/>
      <c r="AJW43" s="42"/>
      <c r="AJX43" s="42"/>
      <c r="AJY43" s="42"/>
      <c r="AJZ43" s="42"/>
      <c r="AKA43" s="42"/>
      <c r="AKB43" s="42"/>
      <c r="AKC43" s="42"/>
      <c r="AKD43" s="42"/>
      <c r="AKE43" s="42"/>
      <c r="AKF43" s="42"/>
      <c r="AKG43" s="42"/>
      <c r="AKH43" s="42"/>
      <c r="AKI43" s="42"/>
      <c r="AKJ43" s="42"/>
      <c r="AKK43" s="42"/>
      <c r="AKL43" s="42"/>
      <c r="AKM43" s="42"/>
      <c r="AKN43" s="42"/>
      <c r="AKO43" s="42"/>
      <c r="AKP43" s="42"/>
      <c r="AKQ43" s="42"/>
      <c r="AKR43" s="42"/>
      <c r="AKS43" s="42"/>
      <c r="AKT43" s="42"/>
      <c r="AKU43" s="42"/>
      <c r="AKV43" s="42"/>
      <c r="AKW43" s="42"/>
      <c r="AKX43" s="42"/>
      <c r="AKY43" s="42"/>
      <c r="AKZ43" s="42"/>
      <c r="ALA43" s="42"/>
      <c r="ALB43" s="42"/>
      <c r="ALC43" s="42"/>
      <c r="ALD43" s="42"/>
      <c r="ALE43" s="42"/>
      <c r="ALF43" s="42"/>
      <c r="ALG43" s="42"/>
      <c r="ALH43" s="42"/>
      <c r="ALI43" s="42"/>
      <c r="ALJ43" s="42"/>
      <c r="ALK43" s="42"/>
      <c r="ALL43" s="42"/>
      <c r="ALM43" s="42"/>
      <c r="ALN43" s="42"/>
      <c r="ALO43" s="42"/>
      <c r="ALP43" s="42"/>
      <c r="ALQ43" s="42"/>
      <c r="ALR43" s="42"/>
      <c r="ALS43" s="42"/>
      <c r="ALT43" s="42"/>
      <c r="ALU43" s="42"/>
      <c r="ALV43" s="42"/>
      <c r="ALW43" s="42"/>
      <c r="ALX43" s="42"/>
      <c r="ALY43" s="42"/>
      <c r="ALZ43" s="42"/>
      <c r="AMA43" s="42"/>
      <c r="AMB43" s="42"/>
      <c r="AMC43" s="42"/>
      <c r="AMD43" s="42"/>
      <c r="AME43" s="42"/>
    </row>
    <row r="44" spans="1:1019" customFormat="1" x14ac:dyDescent="0.25">
      <c r="A44" s="57"/>
      <c r="B44" s="55" t="s">
        <v>326</v>
      </c>
      <c r="C44" s="128">
        <f>2.2+0.7</f>
        <v>2.9000000000000004</v>
      </c>
      <c r="D44" s="145" t="s">
        <v>41</v>
      </c>
      <c r="E44" s="76">
        <v>500</v>
      </c>
      <c r="F44" s="53">
        <f>IF(C44&gt;0,C44*E44,"")</f>
        <v>1450.0000000000002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</row>
    <row r="45" spans="1:1019" customFormat="1" x14ac:dyDescent="0.25">
      <c r="A45" s="57"/>
      <c r="B45" s="55"/>
      <c r="C45" s="128"/>
      <c r="D45" s="145"/>
      <c r="E45" s="76"/>
      <c r="F45" s="5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  <c r="LW45" s="42"/>
      <c r="LX45" s="42"/>
      <c r="LY45" s="42"/>
      <c r="LZ45" s="42"/>
      <c r="MA45" s="42"/>
      <c r="MB45" s="42"/>
      <c r="MC45" s="42"/>
      <c r="MD45" s="42"/>
      <c r="ME45" s="42"/>
      <c r="MF45" s="42"/>
      <c r="MG45" s="42"/>
      <c r="MH45" s="42"/>
      <c r="MI45" s="42"/>
      <c r="MJ45" s="42"/>
      <c r="MK45" s="42"/>
      <c r="ML45" s="42"/>
      <c r="MM45" s="42"/>
      <c r="MN45" s="42"/>
      <c r="MO45" s="42"/>
      <c r="MP45" s="42"/>
      <c r="MQ45" s="42"/>
      <c r="MR45" s="42"/>
      <c r="MS45" s="42"/>
      <c r="MT45" s="42"/>
      <c r="MU45" s="42"/>
      <c r="MV45" s="42"/>
      <c r="MW45" s="42"/>
      <c r="MX45" s="42"/>
      <c r="MY45" s="42"/>
      <c r="MZ45" s="42"/>
      <c r="NA45" s="42"/>
      <c r="NB45" s="42"/>
      <c r="NC45" s="42"/>
      <c r="ND45" s="42"/>
      <c r="NE45" s="42"/>
      <c r="NF45" s="42"/>
      <c r="NG45" s="42"/>
      <c r="NH45" s="42"/>
      <c r="NI45" s="42"/>
      <c r="NJ45" s="42"/>
      <c r="NK45" s="42"/>
      <c r="NL45" s="42"/>
      <c r="NM45" s="42"/>
      <c r="NN45" s="42"/>
      <c r="NO45" s="42"/>
      <c r="NP45" s="42"/>
      <c r="NQ45" s="42"/>
      <c r="NR45" s="42"/>
      <c r="NS45" s="42"/>
      <c r="NT45" s="42"/>
      <c r="NU45" s="42"/>
      <c r="NV45" s="42"/>
      <c r="NW45" s="42"/>
      <c r="NX45" s="42"/>
      <c r="NY45" s="42"/>
      <c r="NZ45" s="42"/>
      <c r="OA45" s="42"/>
      <c r="OB45" s="42"/>
      <c r="OC45" s="42"/>
      <c r="OD45" s="42"/>
      <c r="OE45" s="42"/>
      <c r="OF45" s="42"/>
      <c r="OG45" s="42"/>
      <c r="OH45" s="42"/>
      <c r="OI45" s="42"/>
      <c r="OJ45" s="42"/>
      <c r="OK45" s="42"/>
      <c r="OL45" s="42"/>
      <c r="OM45" s="42"/>
      <c r="ON45" s="42"/>
      <c r="OO45" s="42"/>
      <c r="OP45" s="42"/>
      <c r="OQ45" s="42"/>
      <c r="OR45" s="42"/>
      <c r="OS45" s="42"/>
      <c r="OT45" s="42"/>
      <c r="OU45" s="42"/>
      <c r="OV45" s="42"/>
      <c r="OW45" s="42"/>
      <c r="OX45" s="42"/>
      <c r="OY45" s="42"/>
      <c r="OZ45" s="42"/>
      <c r="PA45" s="42"/>
      <c r="PB45" s="42"/>
      <c r="PC45" s="42"/>
      <c r="PD45" s="42"/>
      <c r="PE45" s="42"/>
      <c r="PF45" s="42"/>
      <c r="PG45" s="42"/>
      <c r="PH45" s="42"/>
      <c r="PI45" s="42"/>
      <c r="PJ45" s="42"/>
      <c r="PK45" s="42"/>
      <c r="PL45" s="42"/>
      <c r="PM45" s="42"/>
      <c r="PN45" s="42"/>
      <c r="PO45" s="42"/>
      <c r="PP45" s="42"/>
      <c r="PQ45" s="42"/>
      <c r="PR45" s="42"/>
      <c r="PS45" s="42"/>
      <c r="PT45" s="42"/>
      <c r="PU45" s="42"/>
      <c r="PV45" s="42"/>
      <c r="PW45" s="42"/>
      <c r="PX45" s="42"/>
      <c r="PY45" s="42"/>
      <c r="PZ45" s="42"/>
      <c r="QA45" s="42"/>
      <c r="QB45" s="42"/>
      <c r="QC45" s="42"/>
      <c r="QD45" s="42"/>
      <c r="QE45" s="42"/>
      <c r="QF45" s="42"/>
      <c r="QG45" s="42"/>
      <c r="QH45" s="42"/>
      <c r="QI45" s="42"/>
      <c r="QJ45" s="42"/>
      <c r="QK45" s="42"/>
      <c r="QL45" s="42"/>
      <c r="QM45" s="42"/>
      <c r="QN45" s="42"/>
      <c r="QO45" s="42"/>
      <c r="QP45" s="42"/>
      <c r="QQ45" s="42"/>
      <c r="QR45" s="42"/>
      <c r="QS45" s="42"/>
      <c r="QT45" s="42"/>
      <c r="QU45" s="42"/>
      <c r="QV45" s="42"/>
      <c r="QW45" s="42"/>
      <c r="QX45" s="42"/>
      <c r="QY45" s="42"/>
      <c r="QZ45" s="42"/>
      <c r="RA45" s="42"/>
      <c r="RB45" s="42"/>
      <c r="RC45" s="42"/>
      <c r="RD45" s="42"/>
      <c r="RE45" s="42"/>
      <c r="RF45" s="42"/>
      <c r="RG45" s="42"/>
      <c r="RH45" s="42"/>
      <c r="RI45" s="42"/>
      <c r="RJ45" s="42"/>
      <c r="RK45" s="42"/>
      <c r="RL45" s="42"/>
      <c r="RM45" s="42"/>
      <c r="RN45" s="42"/>
      <c r="RO45" s="42"/>
      <c r="RP45" s="42"/>
      <c r="RQ45" s="42"/>
      <c r="RR45" s="42"/>
      <c r="RS45" s="42"/>
      <c r="RT45" s="42"/>
      <c r="RU45" s="42"/>
      <c r="RV45" s="42"/>
      <c r="RW45" s="42"/>
      <c r="RX45" s="42"/>
      <c r="RY45" s="42"/>
      <c r="RZ45" s="42"/>
      <c r="SA45" s="42"/>
      <c r="SB45" s="42"/>
      <c r="SC45" s="42"/>
      <c r="SD45" s="42"/>
      <c r="SE45" s="42"/>
      <c r="SF45" s="42"/>
      <c r="SG45" s="42"/>
      <c r="SH45" s="42"/>
      <c r="SI45" s="42"/>
      <c r="SJ45" s="42"/>
      <c r="SK45" s="42"/>
      <c r="SL45" s="42"/>
      <c r="SM45" s="42"/>
      <c r="SN45" s="42"/>
      <c r="SO45" s="42"/>
      <c r="SP45" s="42"/>
      <c r="SQ45" s="42"/>
      <c r="SR45" s="42"/>
      <c r="SS45" s="42"/>
      <c r="ST45" s="42"/>
      <c r="SU45" s="42"/>
      <c r="SV45" s="42"/>
      <c r="SW45" s="42"/>
      <c r="SX45" s="42"/>
      <c r="SY45" s="42"/>
      <c r="SZ45" s="42"/>
      <c r="TA45" s="42"/>
      <c r="TB45" s="42"/>
      <c r="TC45" s="42"/>
      <c r="TD45" s="42"/>
      <c r="TE45" s="42"/>
      <c r="TF45" s="42"/>
      <c r="TG45" s="42"/>
      <c r="TH45" s="42"/>
      <c r="TI45" s="42"/>
      <c r="TJ45" s="42"/>
      <c r="TK45" s="42"/>
      <c r="TL45" s="42"/>
      <c r="TM45" s="42"/>
      <c r="TN45" s="42"/>
      <c r="TO45" s="42"/>
      <c r="TP45" s="42"/>
      <c r="TQ45" s="42"/>
      <c r="TR45" s="42"/>
      <c r="TS45" s="42"/>
      <c r="TT45" s="42"/>
      <c r="TU45" s="42"/>
      <c r="TV45" s="42"/>
      <c r="TW45" s="42"/>
      <c r="TX45" s="42"/>
      <c r="TY45" s="42"/>
      <c r="TZ45" s="42"/>
      <c r="UA45" s="42"/>
      <c r="UB45" s="42"/>
      <c r="UC45" s="42"/>
      <c r="UD45" s="42"/>
      <c r="UE45" s="42"/>
      <c r="UF45" s="42"/>
      <c r="UG45" s="42"/>
      <c r="UH45" s="42"/>
      <c r="UI45" s="42"/>
      <c r="UJ45" s="42"/>
      <c r="UK45" s="42"/>
      <c r="UL45" s="42"/>
      <c r="UM45" s="42"/>
      <c r="UN45" s="42"/>
      <c r="UO45" s="42"/>
      <c r="UP45" s="42"/>
      <c r="UQ45" s="42"/>
      <c r="UR45" s="42"/>
      <c r="US45" s="42"/>
      <c r="UT45" s="42"/>
      <c r="UU45" s="42"/>
      <c r="UV45" s="42"/>
      <c r="UW45" s="42"/>
      <c r="UX45" s="42"/>
      <c r="UY45" s="42"/>
      <c r="UZ45" s="42"/>
      <c r="VA45" s="42"/>
      <c r="VB45" s="42"/>
      <c r="VC45" s="42"/>
      <c r="VD45" s="42"/>
      <c r="VE45" s="42"/>
      <c r="VF45" s="42"/>
      <c r="VG45" s="42"/>
      <c r="VH45" s="42"/>
      <c r="VI45" s="42"/>
      <c r="VJ45" s="42"/>
      <c r="VK45" s="42"/>
      <c r="VL45" s="42"/>
      <c r="VM45" s="42"/>
      <c r="VN45" s="42"/>
      <c r="VO45" s="42"/>
      <c r="VP45" s="42"/>
      <c r="VQ45" s="42"/>
      <c r="VR45" s="42"/>
      <c r="VS45" s="42"/>
      <c r="VT45" s="42"/>
      <c r="VU45" s="42"/>
      <c r="VV45" s="42"/>
      <c r="VW45" s="42"/>
      <c r="VX45" s="42"/>
      <c r="VY45" s="42"/>
      <c r="VZ45" s="42"/>
      <c r="WA45" s="42"/>
      <c r="WB45" s="42"/>
      <c r="WC45" s="42"/>
      <c r="WD45" s="42"/>
      <c r="WE45" s="42"/>
      <c r="WF45" s="42"/>
      <c r="WG45" s="42"/>
      <c r="WH45" s="42"/>
      <c r="WI45" s="42"/>
      <c r="WJ45" s="42"/>
      <c r="WK45" s="42"/>
      <c r="WL45" s="42"/>
      <c r="WM45" s="42"/>
      <c r="WN45" s="42"/>
      <c r="WO45" s="42"/>
      <c r="WP45" s="42"/>
      <c r="WQ45" s="42"/>
      <c r="WR45" s="42"/>
      <c r="WS45" s="42"/>
      <c r="WT45" s="42"/>
      <c r="WU45" s="42"/>
      <c r="WV45" s="42"/>
      <c r="WW45" s="42"/>
      <c r="WX45" s="42"/>
      <c r="WY45" s="42"/>
      <c r="WZ45" s="42"/>
      <c r="XA45" s="42"/>
      <c r="XB45" s="42"/>
      <c r="XC45" s="42"/>
      <c r="XD45" s="42"/>
      <c r="XE45" s="42"/>
      <c r="XF45" s="42"/>
      <c r="XG45" s="42"/>
      <c r="XH45" s="42"/>
      <c r="XI45" s="42"/>
      <c r="XJ45" s="42"/>
      <c r="XK45" s="42"/>
      <c r="XL45" s="42"/>
      <c r="XM45" s="42"/>
      <c r="XN45" s="42"/>
      <c r="XO45" s="42"/>
      <c r="XP45" s="42"/>
      <c r="XQ45" s="42"/>
      <c r="XR45" s="42"/>
      <c r="XS45" s="42"/>
      <c r="XT45" s="42"/>
      <c r="XU45" s="42"/>
      <c r="XV45" s="42"/>
      <c r="XW45" s="42"/>
      <c r="XX45" s="42"/>
      <c r="XY45" s="42"/>
      <c r="XZ45" s="42"/>
      <c r="YA45" s="42"/>
      <c r="YB45" s="42"/>
      <c r="YC45" s="42"/>
      <c r="YD45" s="42"/>
      <c r="YE45" s="42"/>
      <c r="YF45" s="42"/>
      <c r="YG45" s="42"/>
      <c r="YH45" s="42"/>
      <c r="YI45" s="42"/>
      <c r="YJ45" s="42"/>
      <c r="YK45" s="42"/>
      <c r="YL45" s="42"/>
      <c r="YM45" s="42"/>
      <c r="YN45" s="42"/>
      <c r="YO45" s="42"/>
      <c r="YP45" s="42"/>
      <c r="YQ45" s="42"/>
      <c r="YR45" s="42"/>
      <c r="YS45" s="42"/>
      <c r="YT45" s="42"/>
      <c r="YU45" s="42"/>
      <c r="YV45" s="42"/>
      <c r="YW45" s="42"/>
      <c r="YX45" s="42"/>
      <c r="YY45" s="42"/>
      <c r="YZ45" s="42"/>
      <c r="ZA45" s="42"/>
      <c r="ZB45" s="42"/>
      <c r="ZC45" s="42"/>
      <c r="ZD45" s="42"/>
      <c r="ZE45" s="42"/>
      <c r="ZF45" s="42"/>
      <c r="ZG45" s="42"/>
      <c r="ZH45" s="42"/>
      <c r="ZI45" s="42"/>
      <c r="ZJ45" s="42"/>
      <c r="ZK45" s="42"/>
      <c r="ZL45" s="42"/>
      <c r="ZM45" s="42"/>
      <c r="ZN45" s="42"/>
      <c r="ZO45" s="42"/>
      <c r="ZP45" s="42"/>
      <c r="ZQ45" s="42"/>
      <c r="ZR45" s="42"/>
      <c r="ZS45" s="42"/>
      <c r="ZT45" s="42"/>
      <c r="ZU45" s="42"/>
      <c r="ZV45" s="42"/>
      <c r="ZW45" s="42"/>
      <c r="ZX45" s="42"/>
      <c r="ZY45" s="42"/>
      <c r="ZZ45" s="42"/>
      <c r="AAA45" s="42"/>
      <c r="AAB45" s="42"/>
      <c r="AAC45" s="42"/>
      <c r="AAD45" s="42"/>
      <c r="AAE45" s="42"/>
      <c r="AAF45" s="42"/>
      <c r="AAG45" s="42"/>
      <c r="AAH45" s="42"/>
      <c r="AAI45" s="42"/>
      <c r="AAJ45" s="42"/>
      <c r="AAK45" s="42"/>
      <c r="AAL45" s="42"/>
      <c r="AAM45" s="42"/>
      <c r="AAN45" s="42"/>
      <c r="AAO45" s="42"/>
      <c r="AAP45" s="42"/>
      <c r="AAQ45" s="42"/>
      <c r="AAR45" s="42"/>
      <c r="AAS45" s="42"/>
      <c r="AAT45" s="42"/>
      <c r="AAU45" s="42"/>
      <c r="AAV45" s="42"/>
      <c r="AAW45" s="42"/>
      <c r="AAX45" s="42"/>
      <c r="AAY45" s="42"/>
      <c r="AAZ45" s="42"/>
      <c r="ABA45" s="42"/>
      <c r="ABB45" s="42"/>
      <c r="ABC45" s="42"/>
      <c r="ABD45" s="42"/>
      <c r="ABE45" s="42"/>
      <c r="ABF45" s="42"/>
      <c r="ABG45" s="42"/>
      <c r="ABH45" s="42"/>
      <c r="ABI45" s="42"/>
      <c r="ABJ45" s="42"/>
      <c r="ABK45" s="42"/>
      <c r="ABL45" s="42"/>
      <c r="ABM45" s="42"/>
      <c r="ABN45" s="42"/>
      <c r="ABO45" s="42"/>
      <c r="ABP45" s="42"/>
      <c r="ABQ45" s="42"/>
      <c r="ABR45" s="42"/>
      <c r="ABS45" s="42"/>
      <c r="ABT45" s="42"/>
      <c r="ABU45" s="42"/>
      <c r="ABV45" s="42"/>
      <c r="ABW45" s="42"/>
      <c r="ABX45" s="42"/>
      <c r="ABY45" s="42"/>
      <c r="ABZ45" s="42"/>
      <c r="ACA45" s="42"/>
      <c r="ACB45" s="42"/>
      <c r="ACC45" s="42"/>
      <c r="ACD45" s="42"/>
      <c r="ACE45" s="42"/>
      <c r="ACF45" s="42"/>
      <c r="ACG45" s="42"/>
      <c r="ACH45" s="42"/>
      <c r="ACI45" s="42"/>
      <c r="ACJ45" s="42"/>
      <c r="ACK45" s="42"/>
      <c r="ACL45" s="42"/>
      <c r="ACM45" s="42"/>
      <c r="ACN45" s="42"/>
      <c r="ACO45" s="42"/>
      <c r="ACP45" s="42"/>
      <c r="ACQ45" s="42"/>
      <c r="ACR45" s="42"/>
      <c r="ACS45" s="42"/>
      <c r="ACT45" s="42"/>
      <c r="ACU45" s="42"/>
      <c r="ACV45" s="42"/>
      <c r="ACW45" s="42"/>
      <c r="ACX45" s="42"/>
      <c r="ACY45" s="42"/>
      <c r="ACZ45" s="42"/>
      <c r="ADA45" s="42"/>
      <c r="ADB45" s="42"/>
      <c r="ADC45" s="42"/>
      <c r="ADD45" s="42"/>
      <c r="ADE45" s="42"/>
      <c r="ADF45" s="42"/>
      <c r="ADG45" s="42"/>
      <c r="ADH45" s="42"/>
      <c r="ADI45" s="42"/>
      <c r="ADJ45" s="42"/>
      <c r="ADK45" s="42"/>
      <c r="ADL45" s="42"/>
      <c r="ADM45" s="42"/>
      <c r="ADN45" s="42"/>
      <c r="ADO45" s="42"/>
      <c r="ADP45" s="42"/>
      <c r="ADQ45" s="42"/>
      <c r="ADR45" s="42"/>
      <c r="ADS45" s="42"/>
      <c r="ADT45" s="42"/>
      <c r="ADU45" s="42"/>
      <c r="ADV45" s="42"/>
      <c r="ADW45" s="42"/>
      <c r="ADX45" s="42"/>
      <c r="ADY45" s="42"/>
      <c r="ADZ45" s="42"/>
      <c r="AEA45" s="42"/>
      <c r="AEB45" s="42"/>
      <c r="AEC45" s="42"/>
      <c r="AED45" s="42"/>
      <c r="AEE45" s="42"/>
      <c r="AEF45" s="42"/>
      <c r="AEG45" s="42"/>
      <c r="AEH45" s="42"/>
      <c r="AEI45" s="42"/>
      <c r="AEJ45" s="42"/>
      <c r="AEK45" s="42"/>
      <c r="AEL45" s="42"/>
      <c r="AEM45" s="42"/>
      <c r="AEN45" s="42"/>
      <c r="AEO45" s="42"/>
      <c r="AEP45" s="42"/>
      <c r="AEQ45" s="42"/>
      <c r="AER45" s="42"/>
      <c r="AES45" s="42"/>
      <c r="AET45" s="42"/>
      <c r="AEU45" s="42"/>
      <c r="AEV45" s="42"/>
      <c r="AEW45" s="42"/>
      <c r="AEX45" s="42"/>
      <c r="AEY45" s="42"/>
      <c r="AEZ45" s="42"/>
      <c r="AFA45" s="42"/>
      <c r="AFB45" s="42"/>
      <c r="AFC45" s="42"/>
      <c r="AFD45" s="42"/>
      <c r="AFE45" s="42"/>
      <c r="AFF45" s="42"/>
      <c r="AFG45" s="42"/>
      <c r="AFH45" s="42"/>
      <c r="AFI45" s="42"/>
      <c r="AFJ45" s="42"/>
      <c r="AFK45" s="42"/>
      <c r="AFL45" s="42"/>
      <c r="AFM45" s="42"/>
      <c r="AFN45" s="42"/>
      <c r="AFO45" s="42"/>
      <c r="AFP45" s="42"/>
      <c r="AFQ45" s="42"/>
      <c r="AFR45" s="42"/>
      <c r="AFS45" s="42"/>
      <c r="AFT45" s="42"/>
      <c r="AFU45" s="42"/>
      <c r="AFV45" s="42"/>
      <c r="AFW45" s="42"/>
      <c r="AFX45" s="42"/>
      <c r="AFY45" s="42"/>
      <c r="AFZ45" s="42"/>
      <c r="AGA45" s="42"/>
      <c r="AGB45" s="42"/>
      <c r="AGC45" s="42"/>
      <c r="AGD45" s="42"/>
      <c r="AGE45" s="42"/>
      <c r="AGF45" s="42"/>
      <c r="AGG45" s="42"/>
      <c r="AGH45" s="42"/>
      <c r="AGI45" s="42"/>
      <c r="AGJ45" s="42"/>
      <c r="AGK45" s="42"/>
      <c r="AGL45" s="42"/>
      <c r="AGM45" s="42"/>
      <c r="AGN45" s="42"/>
      <c r="AGO45" s="42"/>
      <c r="AGP45" s="42"/>
      <c r="AGQ45" s="42"/>
      <c r="AGR45" s="42"/>
      <c r="AGS45" s="42"/>
      <c r="AGT45" s="42"/>
      <c r="AGU45" s="42"/>
      <c r="AGV45" s="42"/>
      <c r="AGW45" s="42"/>
      <c r="AGX45" s="42"/>
      <c r="AGY45" s="42"/>
      <c r="AGZ45" s="42"/>
      <c r="AHA45" s="42"/>
      <c r="AHB45" s="42"/>
      <c r="AHC45" s="42"/>
      <c r="AHD45" s="42"/>
      <c r="AHE45" s="42"/>
      <c r="AHF45" s="42"/>
      <c r="AHG45" s="42"/>
      <c r="AHH45" s="42"/>
      <c r="AHI45" s="42"/>
      <c r="AHJ45" s="42"/>
      <c r="AHK45" s="42"/>
      <c r="AHL45" s="42"/>
      <c r="AHM45" s="42"/>
      <c r="AHN45" s="42"/>
      <c r="AHO45" s="42"/>
      <c r="AHP45" s="42"/>
      <c r="AHQ45" s="42"/>
      <c r="AHR45" s="42"/>
      <c r="AHS45" s="42"/>
      <c r="AHT45" s="42"/>
      <c r="AHU45" s="42"/>
      <c r="AHV45" s="42"/>
      <c r="AHW45" s="42"/>
      <c r="AHX45" s="42"/>
      <c r="AHY45" s="42"/>
      <c r="AHZ45" s="42"/>
      <c r="AIA45" s="42"/>
      <c r="AIB45" s="42"/>
      <c r="AIC45" s="42"/>
      <c r="AID45" s="42"/>
      <c r="AIE45" s="42"/>
      <c r="AIF45" s="42"/>
      <c r="AIG45" s="42"/>
      <c r="AIH45" s="42"/>
      <c r="AII45" s="42"/>
      <c r="AIJ45" s="42"/>
      <c r="AIK45" s="42"/>
      <c r="AIL45" s="42"/>
      <c r="AIM45" s="42"/>
      <c r="AIN45" s="42"/>
      <c r="AIO45" s="42"/>
      <c r="AIP45" s="42"/>
      <c r="AIQ45" s="42"/>
      <c r="AIR45" s="42"/>
      <c r="AIS45" s="42"/>
      <c r="AIT45" s="42"/>
      <c r="AIU45" s="42"/>
      <c r="AIV45" s="42"/>
      <c r="AIW45" s="42"/>
      <c r="AIX45" s="42"/>
      <c r="AIY45" s="42"/>
      <c r="AIZ45" s="42"/>
      <c r="AJA45" s="42"/>
      <c r="AJB45" s="42"/>
      <c r="AJC45" s="42"/>
      <c r="AJD45" s="42"/>
      <c r="AJE45" s="42"/>
      <c r="AJF45" s="42"/>
      <c r="AJG45" s="42"/>
      <c r="AJH45" s="42"/>
      <c r="AJI45" s="42"/>
      <c r="AJJ45" s="42"/>
      <c r="AJK45" s="42"/>
      <c r="AJL45" s="42"/>
      <c r="AJM45" s="42"/>
      <c r="AJN45" s="42"/>
      <c r="AJO45" s="42"/>
      <c r="AJP45" s="42"/>
      <c r="AJQ45" s="42"/>
      <c r="AJR45" s="42"/>
      <c r="AJS45" s="42"/>
      <c r="AJT45" s="42"/>
      <c r="AJU45" s="42"/>
      <c r="AJV45" s="42"/>
      <c r="AJW45" s="42"/>
      <c r="AJX45" s="42"/>
      <c r="AJY45" s="42"/>
      <c r="AJZ45" s="42"/>
      <c r="AKA45" s="42"/>
      <c r="AKB45" s="42"/>
      <c r="AKC45" s="42"/>
      <c r="AKD45" s="42"/>
      <c r="AKE45" s="42"/>
      <c r="AKF45" s="42"/>
      <c r="AKG45" s="42"/>
      <c r="AKH45" s="42"/>
      <c r="AKI45" s="42"/>
      <c r="AKJ45" s="42"/>
      <c r="AKK45" s="42"/>
      <c r="AKL45" s="42"/>
      <c r="AKM45" s="42"/>
      <c r="AKN45" s="42"/>
      <c r="AKO45" s="42"/>
      <c r="AKP45" s="42"/>
      <c r="AKQ45" s="42"/>
      <c r="AKR45" s="42"/>
      <c r="AKS45" s="42"/>
      <c r="AKT45" s="42"/>
      <c r="AKU45" s="42"/>
      <c r="AKV45" s="42"/>
      <c r="AKW45" s="42"/>
      <c r="AKX45" s="42"/>
      <c r="AKY45" s="42"/>
      <c r="AKZ45" s="42"/>
      <c r="ALA45" s="42"/>
      <c r="ALB45" s="42"/>
      <c r="ALC45" s="42"/>
      <c r="ALD45" s="42"/>
      <c r="ALE45" s="42"/>
      <c r="ALF45" s="42"/>
      <c r="ALG45" s="42"/>
      <c r="ALH45" s="42"/>
      <c r="ALI45" s="42"/>
      <c r="ALJ45" s="42"/>
      <c r="ALK45" s="42"/>
      <c r="ALL45" s="42"/>
      <c r="ALM45" s="42"/>
      <c r="ALN45" s="42"/>
      <c r="ALO45" s="42"/>
      <c r="ALP45" s="42"/>
      <c r="ALQ45" s="42"/>
      <c r="ALR45" s="42"/>
      <c r="ALS45" s="42"/>
      <c r="ALT45" s="42"/>
      <c r="ALU45" s="42"/>
      <c r="ALV45" s="42"/>
      <c r="ALW45" s="42"/>
      <c r="ALX45" s="42"/>
      <c r="ALY45" s="42"/>
      <c r="ALZ45" s="42"/>
      <c r="AMA45" s="42"/>
      <c r="AMB45" s="42"/>
      <c r="AMC45" s="42"/>
      <c r="AMD45" s="42"/>
      <c r="AME45" s="42"/>
    </row>
    <row r="46" spans="1:1019" customFormat="1" x14ac:dyDescent="0.25">
      <c r="A46" s="57"/>
      <c r="B46" s="55" t="s">
        <v>325</v>
      </c>
      <c r="C46" s="128">
        <v>1</v>
      </c>
      <c r="D46" s="145" t="s">
        <v>69</v>
      </c>
      <c r="E46" s="76">
        <v>1500</v>
      </c>
      <c r="F46" s="53">
        <f>IF(C46&gt;0,C46*E46,"")</f>
        <v>1500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  <c r="SE46" s="42"/>
      <c r="SF46" s="42"/>
      <c r="SG46" s="42"/>
      <c r="SH46" s="42"/>
      <c r="SI46" s="42"/>
      <c r="SJ46" s="42"/>
      <c r="SK46" s="42"/>
      <c r="SL46" s="42"/>
      <c r="SM46" s="42"/>
      <c r="SN46" s="42"/>
      <c r="SO46" s="42"/>
      <c r="SP46" s="42"/>
      <c r="SQ46" s="42"/>
      <c r="SR46" s="42"/>
      <c r="SS46" s="42"/>
      <c r="ST46" s="42"/>
      <c r="SU46" s="42"/>
      <c r="SV46" s="42"/>
      <c r="SW46" s="42"/>
      <c r="SX46" s="42"/>
      <c r="SY46" s="42"/>
      <c r="SZ46" s="42"/>
      <c r="TA46" s="42"/>
      <c r="TB46" s="42"/>
      <c r="TC46" s="42"/>
      <c r="TD46" s="42"/>
      <c r="TE46" s="42"/>
      <c r="TF46" s="42"/>
      <c r="TG46" s="42"/>
      <c r="TH46" s="42"/>
      <c r="TI46" s="42"/>
      <c r="TJ46" s="42"/>
      <c r="TK46" s="42"/>
      <c r="TL46" s="42"/>
      <c r="TM46" s="42"/>
      <c r="TN46" s="42"/>
      <c r="TO46" s="42"/>
      <c r="TP46" s="42"/>
      <c r="TQ46" s="42"/>
      <c r="TR46" s="42"/>
      <c r="TS46" s="42"/>
      <c r="TT46" s="42"/>
      <c r="TU46" s="42"/>
      <c r="TV46" s="42"/>
      <c r="TW46" s="42"/>
      <c r="TX46" s="42"/>
      <c r="TY46" s="42"/>
      <c r="TZ46" s="42"/>
      <c r="UA46" s="42"/>
      <c r="UB46" s="42"/>
      <c r="UC46" s="42"/>
      <c r="UD46" s="42"/>
      <c r="UE46" s="42"/>
      <c r="UF46" s="42"/>
      <c r="UG46" s="42"/>
      <c r="UH46" s="42"/>
      <c r="UI46" s="42"/>
      <c r="UJ46" s="42"/>
      <c r="UK46" s="42"/>
      <c r="UL46" s="42"/>
      <c r="UM46" s="42"/>
      <c r="UN46" s="42"/>
      <c r="UO46" s="42"/>
      <c r="UP46" s="42"/>
      <c r="UQ46" s="42"/>
      <c r="UR46" s="42"/>
      <c r="US46" s="42"/>
      <c r="UT46" s="42"/>
      <c r="UU46" s="42"/>
      <c r="UV46" s="42"/>
      <c r="UW46" s="42"/>
      <c r="UX46" s="42"/>
      <c r="UY46" s="42"/>
      <c r="UZ46" s="42"/>
      <c r="VA46" s="42"/>
      <c r="VB46" s="42"/>
      <c r="VC46" s="42"/>
      <c r="VD46" s="42"/>
      <c r="VE46" s="42"/>
      <c r="VF46" s="42"/>
      <c r="VG46" s="42"/>
      <c r="VH46" s="42"/>
      <c r="VI46" s="42"/>
      <c r="VJ46" s="42"/>
      <c r="VK46" s="42"/>
      <c r="VL46" s="42"/>
      <c r="VM46" s="42"/>
      <c r="VN46" s="42"/>
      <c r="VO46" s="42"/>
      <c r="VP46" s="42"/>
      <c r="VQ46" s="42"/>
      <c r="VR46" s="42"/>
      <c r="VS46" s="42"/>
      <c r="VT46" s="42"/>
      <c r="VU46" s="42"/>
      <c r="VV46" s="42"/>
      <c r="VW46" s="42"/>
      <c r="VX46" s="42"/>
      <c r="VY46" s="42"/>
      <c r="VZ46" s="42"/>
      <c r="WA46" s="42"/>
      <c r="WB46" s="42"/>
      <c r="WC46" s="42"/>
      <c r="WD46" s="42"/>
      <c r="WE46" s="42"/>
      <c r="WF46" s="42"/>
      <c r="WG46" s="42"/>
      <c r="WH46" s="42"/>
      <c r="WI46" s="42"/>
      <c r="WJ46" s="42"/>
      <c r="WK46" s="42"/>
      <c r="WL46" s="42"/>
      <c r="WM46" s="42"/>
      <c r="WN46" s="42"/>
      <c r="WO46" s="42"/>
      <c r="WP46" s="42"/>
      <c r="WQ46" s="42"/>
      <c r="WR46" s="42"/>
      <c r="WS46" s="42"/>
      <c r="WT46" s="42"/>
      <c r="WU46" s="42"/>
      <c r="WV46" s="42"/>
      <c r="WW46" s="42"/>
      <c r="WX46" s="42"/>
      <c r="WY46" s="42"/>
      <c r="WZ46" s="42"/>
      <c r="XA46" s="42"/>
      <c r="XB46" s="42"/>
      <c r="XC46" s="42"/>
      <c r="XD46" s="42"/>
      <c r="XE46" s="42"/>
      <c r="XF46" s="42"/>
      <c r="XG46" s="42"/>
      <c r="XH46" s="42"/>
      <c r="XI46" s="42"/>
      <c r="XJ46" s="42"/>
      <c r="XK46" s="42"/>
      <c r="XL46" s="42"/>
      <c r="XM46" s="42"/>
      <c r="XN46" s="42"/>
      <c r="XO46" s="42"/>
      <c r="XP46" s="42"/>
      <c r="XQ46" s="42"/>
      <c r="XR46" s="42"/>
      <c r="XS46" s="42"/>
      <c r="XT46" s="42"/>
      <c r="XU46" s="42"/>
      <c r="XV46" s="42"/>
      <c r="XW46" s="42"/>
      <c r="XX46" s="42"/>
      <c r="XY46" s="42"/>
      <c r="XZ46" s="42"/>
      <c r="YA46" s="42"/>
      <c r="YB46" s="42"/>
      <c r="YC46" s="42"/>
      <c r="YD46" s="42"/>
      <c r="YE46" s="42"/>
      <c r="YF46" s="42"/>
      <c r="YG46" s="42"/>
      <c r="YH46" s="42"/>
      <c r="YI46" s="42"/>
      <c r="YJ46" s="42"/>
      <c r="YK46" s="42"/>
      <c r="YL46" s="42"/>
      <c r="YM46" s="42"/>
      <c r="YN46" s="42"/>
      <c r="YO46" s="42"/>
      <c r="YP46" s="42"/>
      <c r="YQ46" s="42"/>
      <c r="YR46" s="42"/>
      <c r="YS46" s="42"/>
      <c r="YT46" s="42"/>
      <c r="YU46" s="42"/>
      <c r="YV46" s="42"/>
      <c r="YW46" s="42"/>
      <c r="YX46" s="42"/>
      <c r="YY46" s="42"/>
      <c r="YZ46" s="42"/>
      <c r="ZA46" s="42"/>
      <c r="ZB46" s="42"/>
      <c r="ZC46" s="42"/>
      <c r="ZD46" s="42"/>
      <c r="ZE46" s="42"/>
      <c r="ZF46" s="42"/>
      <c r="ZG46" s="42"/>
      <c r="ZH46" s="42"/>
      <c r="ZI46" s="42"/>
      <c r="ZJ46" s="42"/>
      <c r="ZK46" s="42"/>
      <c r="ZL46" s="42"/>
      <c r="ZM46" s="42"/>
      <c r="ZN46" s="42"/>
      <c r="ZO46" s="42"/>
      <c r="ZP46" s="42"/>
      <c r="ZQ46" s="42"/>
      <c r="ZR46" s="42"/>
      <c r="ZS46" s="42"/>
      <c r="ZT46" s="42"/>
      <c r="ZU46" s="42"/>
      <c r="ZV46" s="42"/>
      <c r="ZW46" s="42"/>
      <c r="ZX46" s="42"/>
      <c r="ZY46" s="42"/>
      <c r="ZZ46" s="42"/>
      <c r="AAA46" s="42"/>
      <c r="AAB46" s="42"/>
      <c r="AAC46" s="42"/>
      <c r="AAD46" s="42"/>
      <c r="AAE46" s="42"/>
      <c r="AAF46" s="42"/>
      <c r="AAG46" s="42"/>
      <c r="AAH46" s="42"/>
      <c r="AAI46" s="42"/>
      <c r="AAJ46" s="42"/>
      <c r="AAK46" s="42"/>
      <c r="AAL46" s="42"/>
      <c r="AAM46" s="42"/>
      <c r="AAN46" s="42"/>
      <c r="AAO46" s="42"/>
      <c r="AAP46" s="42"/>
      <c r="AAQ46" s="42"/>
      <c r="AAR46" s="42"/>
      <c r="AAS46" s="42"/>
      <c r="AAT46" s="42"/>
      <c r="AAU46" s="42"/>
      <c r="AAV46" s="42"/>
      <c r="AAW46" s="42"/>
      <c r="AAX46" s="42"/>
      <c r="AAY46" s="42"/>
      <c r="AAZ46" s="42"/>
      <c r="ABA46" s="42"/>
      <c r="ABB46" s="42"/>
      <c r="ABC46" s="42"/>
      <c r="ABD46" s="42"/>
      <c r="ABE46" s="42"/>
      <c r="ABF46" s="42"/>
      <c r="ABG46" s="42"/>
      <c r="ABH46" s="42"/>
      <c r="ABI46" s="42"/>
      <c r="ABJ46" s="42"/>
      <c r="ABK46" s="42"/>
      <c r="ABL46" s="42"/>
      <c r="ABM46" s="42"/>
      <c r="ABN46" s="42"/>
      <c r="ABO46" s="42"/>
      <c r="ABP46" s="42"/>
      <c r="ABQ46" s="42"/>
      <c r="ABR46" s="42"/>
      <c r="ABS46" s="42"/>
      <c r="ABT46" s="42"/>
      <c r="ABU46" s="42"/>
      <c r="ABV46" s="42"/>
      <c r="ABW46" s="42"/>
      <c r="ABX46" s="42"/>
      <c r="ABY46" s="42"/>
      <c r="ABZ46" s="42"/>
      <c r="ACA46" s="42"/>
      <c r="ACB46" s="42"/>
      <c r="ACC46" s="42"/>
      <c r="ACD46" s="42"/>
      <c r="ACE46" s="42"/>
      <c r="ACF46" s="42"/>
      <c r="ACG46" s="42"/>
      <c r="ACH46" s="42"/>
      <c r="ACI46" s="42"/>
      <c r="ACJ46" s="42"/>
      <c r="ACK46" s="42"/>
      <c r="ACL46" s="42"/>
      <c r="ACM46" s="42"/>
      <c r="ACN46" s="42"/>
      <c r="ACO46" s="42"/>
      <c r="ACP46" s="42"/>
      <c r="ACQ46" s="42"/>
      <c r="ACR46" s="42"/>
      <c r="ACS46" s="42"/>
      <c r="ACT46" s="42"/>
      <c r="ACU46" s="42"/>
      <c r="ACV46" s="42"/>
      <c r="ACW46" s="42"/>
      <c r="ACX46" s="42"/>
      <c r="ACY46" s="42"/>
      <c r="ACZ46" s="42"/>
      <c r="ADA46" s="42"/>
      <c r="ADB46" s="42"/>
      <c r="ADC46" s="42"/>
      <c r="ADD46" s="42"/>
      <c r="ADE46" s="42"/>
      <c r="ADF46" s="42"/>
      <c r="ADG46" s="42"/>
      <c r="ADH46" s="42"/>
      <c r="ADI46" s="42"/>
      <c r="ADJ46" s="42"/>
      <c r="ADK46" s="42"/>
      <c r="ADL46" s="42"/>
      <c r="ADM46" s="42"/>
      <c r="ADN46" s="42"/>
      <c r="ADO46" s="42"/>
      <c r="ADP46" s="42"/>
      <c r="ADQ46" s="42"/>
      <c r="ADR46" s="42"/>
      <c r="ADS46" s="42"/>
      <c r="ADT46" s="42"/>
      <c r="ADU46" s="42"/>
      <c r="ADV46" s="42"/>
      <c r="ADW46" s="42"/>
      <c r="ADX46" s="42"/>
      <c r="ADY46" s="42"/>
      <c r="ADZ46" s="42"/>
      <c r="AEA46" s="42"/>
      <c r="AEB46" s="42"/>
      <c r="AEC46" s="42"/>
      <c r="AED46" s="42"/>
      <c r="AEE46" s="42"/>
      <c r="AEF46" s="42"/>
      <c r="AEG46" s="42"/>
      <c r="AEH46" s="42"/>
      <c r="AEI46" s="42"/>
      <c r="AEJ46" s="42"/>
      <c r="AEK46" s="42"/>
      <c r="AEL46" s="42"/>
      <c r="AEM46" s="42"/>
      <c r="AEN46" s="42"/>
      <c r="AEO46" s="42"/>
      <c r="AEP46" s="42"/>
      <c r="AEQ46" s="42"/>
      <c r="AER46" s="42"/>
      <c r="AES46" s="42"/>
      <c r="AET46" s="42"/>
      <c r="AEU46" s="42"/>
      <c r="AEV46" s="42"/>
      <c r="AEW46" s="42"/>
      <c r="AEX46" s="42"/>
      <c r="AEY46" s="42"/>
      <c r="AEZ46" s="42"/>
      <c r="AFA46" s="42"/>
      <c r="AFB46" s="42"/>
      <c r="AFC46" s="42"/>
      <c r="AFD46" s="42"/>
      <c r="AFE46" s="42"/>
      <c r="AFF46" s="42"/>
      <c r="AFG46" s="42"/>
      <c r="AFH46" s="42"/>
      <c r="AFI46" s="42"/>
      <c r="AFJ46" s="42"/>
      <c r="AFK46" s="42"/>
      <c r="AFL46" s="42"/>
      <c r="AFM46" s="42"/>
      <c r="AFN46" s="42"/>
      <c r="AFO46" s="42"/>
      <c r="AFP46" s="42"/>
      <c r="AFQ46" s="42"/>
      <c r="AFR46" s="42"/>
      <c r="AFS46" s="42"/>
      <c r="AFT46" s="42"/>
      <c r="AFU46" s="42"/>
      <c r="AFV46" s="42"/>
      <c r="AFW46" s="42"/>
      <c r="AFX46" s="42"/>
      <c r="AFY46" s="42"/>
      <c r="AFZ46" s="42"/>
      <c r="AGA46" s="42"/>
      <c r="AGB46" s="42"/>
      <c r="AGC46" s="42"/>
      <c r="AGD46" s="42"/>
      <c r="AGE46" s="42"/>
      <c r="AGF46" s="42"/>
      <c r="AGG46" s="42"/>
      <c r="AGH46" s="42"/>
      <c r="AGI46" s="42"/>
      <c r="AGJ46" s="42"/>
      <c r="AGK46" s="42"/>
      <c r="AGL46" s="42"/>
      <c r="AGM46" s="42"/>
      <c r="AGN46" s="42"/>
      <c r="AGO46" s="42"/>
      <c r="AGP46" s="42"/>
      <c r="AGQ46" s="42"/>
      <c r="AGR46" s="42"/>
      <c r="AGS46" s="42"/>
      <c r="AGT46" s="42"/>
      <c r="AGU46" s="42"/>
      <c r="AGV46" s="42"/>
      <c r="AGW46" s="42"/>
      <c r="AGX46" s="42"/>
      <c r="AGY46" s="42"/>
      <c r="AGZ46" s="42"/>
      <c r="AHA46" s="42"/>
      <c r="AHB46" s="42"/>
      <c r="AHC46" s="42"/>
      <c r="AHD46" s="42"/>
      <c r="AHE46" s="42"/>
      <c r="AHF46" s="42"/>
      <c r="AHG46" s="42"/>
      <c r="AHH46" s="42"/>
      <c r="AHI46" s="42"/>
      <c r="AHJ46" s="42"/>
      <c r="AHK46" s="42"/>
      <c r="AHL46" s="42"/>
      <c r="AHM46" s="42"/>
      <c r="AHN46" s="42"/>
      <c r="AHO46" s="42"/>
      <c r="AHP46" s="42"/>
      <c r="AHQ46" s="42"/>
      <c r="AHR46" s="42"/>
      <c r="AHS46" s="42"/>
      <c r="AHT46" s="42"/>
      <c r="AHU46" s="42"/>
      <c r="AHV46" s="42"/>
      <c r="AHW46" s="42"/>
      <c r="AHX46" s="42"/>
      <c r="AHY46" s="42"/>
      <c r="AHZ46" s="42"/>
      <c r="AIA46" s="42"/>
      <c r="AIB46" s="42"/>
      <c r="AIC46" s="42"/>
      <c r="AID46" s="42"/>
      <c r="AIE46" s="42"/>
      <c r="AIF46" s="42"/>
      <c r="AIG46" s="42"/>
      <c r="AIH46" s="42"/>
      <c r="AII46" s="42"/>
      <c r="AIJ46" s="42"/>
      <c r="AIK46" s="42"/>
      <c r="AIL46" s="42"/>
      <c r="AIM46" s="42"/>
      <c r="AIN46" s="42"/>
      <c r="AIO46" s="42"/>
      <c r="AIP46" s="42"/>
      <c r="AIQ46" s="42"/>
      <c r="AIR46" s="42"/>
      <c r="AIS46" s="42"/>
      <c r="AIT46" s="42"/>
      <c r="AIU46" s="42"/>
      <c r="AIV46" s="42"/>
      <c r="AIW46" s="42"/>
      <c r="AIX46" s="42"/>
      <c r="AIY46" s="42"/>
      <c r="AIZ46" s="42"/>
      <c r="AJA46" s="42"/>
      <c r="AJB46" s="42"/>
      <c r="AJC46" s="42"/>
      <c r="AJD46" s="42"/>
      <c r="AJE46" s="42"/>
      <c r="AJF46" s="42"/>
      <c r="AJG46" s="42"/>
      <c r="AJH46" s="42"/>
      <c r="AJI46" s="42"/>
      <c r="AJJ46" s="42"/>
      <c r="AJK46" s="42"/>
      <c r="AJL46" s="42"/>
      <c r="AJM46" s="42"/>
      <c r="AJN46" s="42"/>
      <c r="AJO46" s="42"/>
      <c r="AJP46" s="42"/>
      <c r="AJQ46" s="42"/>
      <c r="AJR46" s="42"/>
      <c r="AJS46" s="42"/>
      <c r="AJT46" s="42"/>
      <c r="AJU46" s="42"/>
      <c r="AJV46" s="42"/>
      <c r="AJW46" s="42"/>
      <c r="AJX46" s="42"/>
      <c r="AJY46" s="42"/>
      <c r="AJZ46" s="42"/>
      <c r="AKA46" s="42"/>
      <c r="AKB46" s="42"/>
      <c r="AKC46" s="42"/>
      <c r="AKD46" s="42"/>
      <c r="AKE46" s="42"/>
      <c r="AKF46" s="42"/>
      <c r="AKG46" s="42"/>
      <c r="AKH46" s="42"/>
      <c r="AKI46" s="42"/>
      <c r="AKJ46" s="42"/>
      <c r="AKK46" s="42"/>
      <c r="AKL46" s="42"/>
      <c r="AKM46" s="42"/>
      <c r="AKN46" s="42"/>
      <c r="AKO46" s="42"/>
      <c r="AKP46" s="42"/>
      <c r="AKQ46" s="42"/>
      <c r="AKR46" s="42"/>
      <c r="AKS46" s="42"/>
      <c r="AKT46" s="42"/>
      <c r="AKU46" s="42"/>
      <c r="AKV46" s="42"/>
      <c r="AKW46" s="42"/>
      <c r="AKX46" s="42"/>
      <c r="AKY46" s="42"/>
      <c r="AKZ46" s="42"/>
      <c r="ALA46" s="42"/>
      <c r="ALB46" s="42"/>
      <c r="ALC46" s="42"/>
      <c r="ALD46" s="42"/>
      <c r="ALE46" s="42"/>
      <c r="ALF46" s="42"/>
      <c r="ALG46" s="42"/>
      <c r="ALH46" s="42"/>
      <c r="ALI46" s="42"/>
      <c r="ALJ46" s="42"/>
      <c r="ALK46" s="42"/>
      <c r="ALL46" s="42"/>
      <c r="ALM46" s="42"/>
      <c r="ALN46" s="42"/>
      <c r="ALO46" s="42"/>
      <c r="ALP46" s="42"/>
      <c r="ALQ46" s="42"/>
      <c r="ALR46" s="42"/>
      <c r="ALS46" s="42"/>
      <c r="ALT46" s="42"/>
      <c r="ALU46" s="42"/>
      <c r="ALV46" s="42"/>
      <c r="ALW46" s="42"/>
      <c r="ALX46" s="42"/>
      <c r="ALY46" s="42"/>
      <c r="ALZ46" s="42"/>
      <c r="AMA46" s="42"/>
      <c r="AMB46" s="42"/>
      <c r="AMC46" s="42"/>
      <c r="AMD46" s="42"/>
      <c r="AME46" s="42"/>
    </row>
    <row r="47" spans="1:1019" x14ac:dyDescent="0.25">
      <c r="A47" s="74"/>
      <c r="B47" s="75"/>
      <c r="C47" s="51"/>
      <c r="D47" s="52"/>
      <c r="E47" s="53"/>
      <c r="F47" s="58" t="str">
        <f t="shared" ref="F47" si="0">IF(C47&gt;0,C47*E47,"")</f>
        <v/>
      </c>
    </row>
    <row r="48" spans="1:1019" ht="13.8" thickBot="1" x14ac:dyDescent="0.3">
      <c r="A48" s="52"/>
      <c r="B48" s="68" t="s">
        <v>137</v>
      </c>
      <c r="C48" s="61"/>
      <c r="D48" s="57"/>
      <c r="E48" s="60"/>
      <c r="F48" s="66">
        <f>SUM(F3:F47)</f>
        <v>69809.8</v>
      </c>
    </row>
    <row r="49" spans="1:9" ht="13.8" thickTop="1" x14ac:dyDescent="0.25">
      <c r="A49" s="52"/>
      <c r="B49" s="68"/>
      <c r="C49" s="61"/>
      <c r="D49" s="57"/>
      <c r="E49" s="60"/>
      <c r="F49" s="67"/>
    </row>
    <row r="50" spans="1:9" x14ac:dyDescent="0.25">
      <c r="I50" s="110"/>
    </row>
    <row r="51" spans="1:9" x14ac:dyDescent="0.25">
      <c r="I51" s="110"/>
    </row>
    <row r="52" spans="1:9" x14ac:dyDescent="0.25">
      <c r="I52" s="110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F14"/>
  <sheetViews>
    <sheetView view="pageBreakPreview" zoomScaleNormal="100" zoomScaleSheetLayoutView="100" workbookViewId="0">
      <selection activeCell="E7" sqref="E7"/>
    </sheetView>
  </sheetViews>
  <sheetFormatPr defaultColWidth="8.88671875" defaultRowHeight="13.2" x14ac:dyDescent="0.25"/>
  <cols>
    <col min="1" max="1" width="5.109375" style="38" customWidth="1"/>
    <col min="2" max="2" width="47.5546875" style="98" customWidth="1"/>
    <col min="3" max="3" width="7.5546875" customWidth="1"/>
    <col min="4" max="4" width="5.44140625" style="100" customWidth="1"/>
    <col min="5" max="5" width="10.88671875" style="101" customWidth="1"/>
    <col min="6" max="6" width="11.5546875" customWidth="1"/>
  </cols>
  <sheetData>
    <row r="1" spans="1:6" x14ac:dyDescent="0.25">
      <c r="A1" s="44"/>
      <c r="B1" s="102"/>
      <c r="C1" s="86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72</v>
      </c>
      <c r="C2" s="103"/>
      <c r="D2" s="104"/>
      <c r="E2" s="105"/>
      <c r="F2" s="105"/>
    </row>
    <row r="3" spans="1:6" x14ac:dyDescent="0.25">
      <c r="A3" s="74"/>
      <c r="B3" s="106"/>
      <c r="C3" s="103"/>
      <c r="D3" s="104"/>
      <c r="E3" s="105"/>
      <c r="F3" s="105"/>
    </row>
    <row r="4" spans="1:6" x14ac:dyDescent="0.25">
      <c r="A4" s="57"/>
      <c r="B4" s="62" t="s">
        <v>92</v>
      </c>
      <c r="C4" s="107">
        <f>(28*2+19*2)*8</f>
        <v>752</v>
      </c>
      <c r="D4" s="63" t="s">
        <v>42</v>
      </c>
      <c r="E4" s="108">
        <v>30</v>
      </c>
      <c r="F4" s="64">
        <f>IF(C4&gt;0,C4*E4,"")</f>
        <v>22560</v>
      </c>
    </row>
    <row r="5" spans="1:6" x14ac:dyDescent="0.25">
      <c r="A5" s="57"/>
      <c r="B5" s="62"/>
      <c r="C5" s="107"/>
      <c r="D5" s="63"/>
      <c r="E5" s="108"/>
      <c r="F5" s="64" t="str">
        <f t="shared" ref="F5:F10" si="0">IF(C5&gt;0,C5*E5,"")</f>
        <v/>
      </c>
    </row>
    <row r="6" spans="1:6" x14ac:dyDescent="0.25">
      <c r="A6" s="57"/>
      <c r="B6" s="135" t="s">
        <v>184</v>
      </c>
      <c r="C6" s="107">
        <f>14*12+9.5*18+9*7.5+2.5*4</f>
        <v>416.5</v>
      </c>
      <c r="D6" s="63" t="s">
        <v>42</v>
      </c>
      <c r="E6" s="108">
        <v>65</v>
      </c>
      <c r="F6" s="64">
        <f t="shared" si="0"/>
        <v>27072.5</v>
      </c>
    </row>
    <row r="7" spans="1:6" x14ac:dyDescent="0.25">
      <c r="A7" s="57"/>
      <c r="B7" s="135"/>
      <c r="C7" s="107"/>
      <c r="D7" s="63"/>
      <c r="E7" s="108"/>
      <c r="F7" s="64" t="str">
        <f t="shared" si="0"/>
        <v/>
      </c>
    </row>
    <row r="8" spans="1:6" x14ac:dyDescent="0.25">
      <c r="A8" s="57"/>
      <c r="B8" s="62" t="s">
        <v>70</v>
      </c>
      <c r="C8" s="107">
        <v>1</v>
      </c>
      <c r="D8" s="63" t="s">
        <v>69</v>
      </c>
      <c r="E8" s="108">
        <v>1500</v>
      </c>
      <c r="F8" s="64">
        <f t="shared" si="0"/>
        <v>1500</v>
      </c>
    </row>
    <row r="9" spans="1:6" x14ac:dyDescent="0.25">
      <c r="A9" s="57"/>
      <c r="B9" s="62"/>
      <c r="C9" s="107"/>
      <c r="D9" s="63"/>
      <c r="E9" s="108"/>
      <c r="F9" s="64"/>
    </row>
    <row r="10" spans="1:6" x14ac:dyDescent="0.25">
      <c r="A10" s="57"/>
      <c r="B10" s="62" t="s">
        <v>93</v>
      </c>
      <c r="C10" s="107">
        <v>1</v>
      </c>
      <c r="D10" s="63" t="s">
        <v>69</v>
      </c>
      <c r="E10" s="108">
        <v>2500</v>
      </c>
      <c r="F10" s="64">
        <f t="shared" si="0"/>
        <v>2500</v>
      </c>
    </row>
    <row r="11" spans="1:6" x14ac:dyDescent="0.25">
      <c r="A11" s="52"/>
      <c r="B11" s="106"/>
      <c r="C11" s="107"/>
      <c r="D11" s="104"/>
      <c r="E11" s="108"/>
      <c r="F11" s="105" t="str">
        <f>IF(C11&gt;0,C11*E11,"")</f>
        <v/>
      </c>
    </row>
    <row r="12" spans="1:6" ht="13.8" thickBot="1" x14ac:dyDescent="0.3">
      <c r="A12" s="52"/>
      <c r="B12" s="65" t="s">
        <v>137</v>
      </c>
      <c r="C12" s="90"/>
      <c r="D12" s="63"/>
      <c r="E12" s="91"/>
      <c r="F12" s="92">
        <f>SUM(F4:F11)</f>
        <v>53632.5</v>
      </c>
    </row>
    <row r="13" spans="1:6" ht="13.8" thickTop="1" x14ac:dyDescent="0.25">
      <c r="A13" s="52"/>
      <c r="B13" s="65"/>
      <c r="C13" s="90"/>
      <c r="D13" s="63"/>
      <c r="E13" s="91"/>
      <c r="F13" s="119"/>
    </row>
    <row r="14" spans="1:6" x14ac:dyDescent="0.25">
      <c r="A14" s="52"/>
      <c r="B14" s="106"/>
      <c r="C14" s="107"/>
      <c r="D14" s="104"/>
      <c r="E14" s="108"/>
      <c r="F14" s="1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1"/>
  <sheetViews>
    <sheetView showOutlineSymbols="0" view="pageBreakPreview" zoomScaleNormal="100" zoomScaleSheetLayoutView="100" workbookViewId="0">
      <selection activeCell="B7" sqref="B7"/>
    </sheetView>
  </sheetViews>
  <sheetFormatPr defaultColWidth="8.88671875" defaultRowHeight="13.2" x14ac:dyDescent="0.25"/>
  <cols>
    <col min="1" max="1" width="6.88671875" style="38" customWidth="1"/>
    <col min="2" max="2" width="48.5546875" style="39" customWidth="1"/>
    <col min="3" max="3" width="5" style="40" bestFit="1" customWidth="1"/>
    <col min="4" max="4" width="5.44140625" style="38" customWidth="1"/>
    <col min="5" max="5" width="9.88671875" style="41" customWidth="1"/>
    <col min="6" max="6" width="11.5546875" style="42" customWidth="1"/>
  </cols>
  <sheetData>
    <row r="1" spans="1:6" x14ac:dyDescent="0.25">
      <c r="A1" s="44"/>
      <c r="B1" s="45"/>
      <c r="C1" s="46" t="s">
        <v>38</v>
      </c>
      <c r="D1" s="47" t="s">
        <v>13</v>
      </c>
      <c r="E1" s="48" t="s">
        <v>39</v>
      </c>
      <c r="F1" s="47" t="s">
        <v>4</v>
      </c>
    </row>
    <row r="2" spans="1:6" x14ac:dyDescent="0.25">
      <c r="A2" s="49"/>
      <c r="B2" s="50" t="s">
        <v>68</v>
      </c>
      <c r="C2" s="51"/>
      <c r="D2" s="52"/>
      <c r="E2" s="53"/>
      <c r="F2" s="53"/>
    </row>
    <row r="3" spans="1:6" x14ac:dyDescent="0.25">
      <c r="A3" s="54"/>
      <c r="B3" s="55"/>
      <c r="C3" s="56"/>
      <c r="D3" s="57"/>
      <c r="E3" s="58"/>
      <c r="F3" s="58"/>
    </row>
    <row r="4" spans="1:6" x14ac:dyDescent="0.25">
      <c r="A4" s="54"/>
      <c r="B4" s="110" t="s">
        <v>331</v>
      </c>
      <c r="C4" s="56">
        <v>1</v>
      </c>
      <c r="D4" s="57" t="s">
        <v>69</v>
      </c>
      <c r="E4" s="58">
        <v>5000</v>
      </c>
      <c r="F4" s="53">
        <f>IF(C4&gt;0,C4*E4,"")</f>
        <v>5000</v>
      </c>
    </row>
    <row r="5" spans="1:6" x14ac:dyDescent="0.25">
      <c r="A5" s="54"/>
      <c r="B5" s="208"/>
      <c r="C5" s="207"/>
      <c r="D5" s="205"/>
      <c r="E5" s="206"/>
      <c r="F5" s="206"/>
    </row>
    <row r="6" spans="1:6" x14ac:dyDescent="0.25">
      <c r="A6" s="54"/>
      <c r="B6" s="110" t="s">
        <v>215</v>
      </c>
      <c r="C6" s="56">
        <v>1</v>
      </c>
      <c r="D6" s="57" t="s">
        <v>69</v>
      </c>
      <c r="E6" s="58">
        <v>5000</v>
      </c>
      <c r="F6" s="58">
        <f>IF(C6&gt;0,C6*E6,"")</f>
        <v>5000</v>
      </c>
    </row>
    <row r="7" spans="1:6" x14ac:dyDescent="0.25">
      <c r="A7" s="54"/>
      <c r="B7" s="110"/>
      <c r="C7" s="56"/>
      <c r="D7" s="57"/>
      <c r="E7" s="58"/>
      <c r="F7" s="58"/>
    </row>
    <row r="8" spans="1:6" x14ac:dyDescent="0.25">
      <c r="A8" s="54"/>
      <c r="B8" s="110" t="s">
        <v>139</v>
      </c>
      <c r="C8" s="56">
        <v>1</v>
      </c>
      <c r="D8" s="57" t="s">
        <v>69</v>
      </c>
      <c r="E8" s="58">
        <v>1500</v>
      </c>
      <c r="F8" s="58">
        <f>IF(C8&gt;0,C8*E8,"")</f>
        <v>1500</v>
      </c>
    </row>
    <row r="9" spans="1:6" x14ac:dyDescent="0.25">
      <c r="A9" s="54"/>
      <c r="B9" s="146"/>
      <c r="C9" s="56"/>
      <c r="D9" s="57"/>
      <c r="E9" s="58"/>
      <c r="F9" s="53" t="str">
        <f t="shared" ref="F9" si="0">IF(C9&gt;0,C9*E9,"")</f>
        <v/>
      </c>
    </row>
    <row r="10" spans="1:6" ht="13.8" thickBot="1" x14ac:dyDescent="0.3">
      <c r="A10" s="54"/>
      <c r="B10" s="68" t="s">
        <v>137</v>
      </c>
      <c r="D10" s="57"/>
      <c r="E10" s="60"/>
      <c r="F10" s="66">
        <f>SUM(F4:F9)</f>
        <v>11500</v>
      </c>
    </row>
    <row r="11" spans="1:6" ht="13.8" thickTop="1" x14ac:dyDescent="0.25">
      <c r="A11" s="54"/>
      <c r="B11" s="65"/>
      <c r="D11" s="57"/>
      <c r="E11" s="60"/>
      <c r="F11" s="67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MD30"/>
  <sheetViews>
    <sheetView showOutlineSymbols="0" view="pageBreakPreview" zoomScaleNormal="100" zoomScaleSheetLayoutView="100" workbookViewId="0">
      <selection activeCell="F2" sqref="F2"/>
    </sheetView>
  </sheetViews>
  <sheetFormatPr defaultColWidth="9.109375" defaultRowHeight="13.2" x14ac:dyDescent="0.25"/>
  <cols>
    <col min="1" max="1" width="5.109375" style="38" customWidth="1"/>
    <col min="2" max="2" width="55.88671875" style="39" customWidth="1"/>
    <col min="3" max="3" width="7.5546875" style="40" customWidth="1"/>
    <col min="4" max="4" width="5.44140625" style="38" customWidth="1"/>
    <col min="5" max="5" width="9.88671875" style="41" customWidth="1"/>
    <col min="6" max="6" width="11.5546875" style="42" customWidth="1"/>
    <col min="7" max="7" width="9.109375" style="43" customWidth="1"/>
    <col min="8" max="9" width="9.109375" style="43"/>
    <col min="10" max="1018" width="9.109375" style="42"/>
  </cols>
  <sheetData>
    <row r="1" spans="1:6" x14ac:dyDescent="0.25">
      <c r="A1" s="44"/>
      <c r="B1" s="45"/>
      <c r="C1" s="46" t="s">
        <v>38</v>
      </c>
      <c r="D1" s="47" t="s">
        <v>13</v>
      </c>
      <c r="E1" s="48" t="s">
        <v>39</v>
      </c>
      <c r="F1" s="47" t="s">
        <v>4</v>
      </c>
    </row>
    <row r="2" spans="1:6" x14ac:dyDescent="0.25">
      <c r="A2" s="49"/>
      <c r="B2" s="50" t="s">
        <v>40</v>
      </c>
      <c r="C2" s="51"/>
      <c r="D2" s="52"/>
      <c r="E2" s="53"/>
      <c r="F2" s="53"/>
    </row>
    <row r="3" spans="1:6" x14ac:dyDescent="0.25">
      <c r="A3" s="49"/>
      <c r="B3" s="50"/>
      <c r="C3" s="51"/>
      <c r="D3" s="52"/>
      <c r="E3" s="53"/>
      <c r="F3" s="53"/>
    </row>
    <row r="4" spans="1:6" x14ac:dyDescent="0.25">
      <c r="A4" s="54"/>
      <c r="B4" s="133" t="s">
        <v>282</v>
      </c>
      <c r="C4" s="56"/>
      <c r="D4" s="57"/>
      <c r="E4" s="58"/>
      <c r="F4" s="58"/>
    </row>
    <row r="5" spans="1:6" x14ac:dyDescent="0.25">
      <c r="A5" s="54"/>
      <c r="B5" s="144"/>
      <c r="C5" s="56"/>
      <c r="D5" s="57"/>
      <c r="E5" s="58"/>
      <c r="F5" s="58"/>
    </row>
    <row r="6" spans="1:6" x14ac:dyDescent="0.25">
      <c r="A6" s="54"/>
      <c r="B6" s="144" t="s">
        <v>102</v>
      </c>
      <c r="C6" s="56">
        <f>(3+2.7)*0.75*0.6</f>
        <v>2.5649999999999999</v>
      </c>
      <c r="D6" s="57" t="s">
        <v>43</v>
      </c>
      <c r="E6" s="58">
        <v>300</v>
      </c>
      <c r="F6" s="58">
        <f>IF(C6&gt;0,C6*E6,"")</f>
        <v>769.5</v>
      </c>
    </row>
    <row r="7" spans="1:6" x14ac:dyDescent="0.25">
      <c r="A7" s="54"/>
      <c r="B7" s="144"/>
      <c r="C7" s="56"/>
      <c r="D7" s="57"/>
      <c r="E7" s="58"/>
      <c r="F7" s="58"/>
    </row>
    <row r="8" spans="1:6" x14ac:dyDescent="0.25">
      <c r="A8" s="54"/>
      <c r="B8" s="55" t="s">
        <v>107</v>
      </c>
      <c r="C8" s="56">
        <f>3*3*0.375</f>
        <v>3.375</v>
      </c>
      <c r="D8" s="57" t="s">
        <v>43</v>
      </c>
      <c r="E8" s="191">
        <v>60</v>
      </c>
      <c r="F8" s="58">
        <f t="shared" ref="F8:F21" si="0">IF(C8&gt;0,C8*E8,"")</f>
        <v>202.5</v>
      </c>
    </row>
    <row r="9" spans="1:6" x14ac:dyDescent="0.25">
      <c r="A9" s="54"/>
      <c r="B9" s="55"/>
      <c r="C9" s="56"/>
      <c r="D9" s="57"/>
      <c r="E9" s="191"/>
      <c r="F9" s="58"/>
    </row>
    <row r="10" spans="1:6" x14ac:dyDescent="0.25">
      <c r="A10" s="54"/>
      <c r="B10" s="55" t="s">
        <v>75</v>
      </c>
      <c r="C10" s="56">
        <f>3*4*0.375</f>
        <v>4.5</v>
      </c>
      <c r="D10" s="57" t="s">
        <v>42</v>
      </c>
      <c r="E10" s="191">
        <v>30</v>
      </c>
      <c r="F10" s="58">
        <f t="shared" si="0"/>
        <v>135</v>
      </c>
    </row>
    <row r="11" spans="1:6" x14ac:dyDescent="0.25">
      <c r="A11" s="54"/>
      <c r="B11" s="144"/>
      <c r="C11" s="56"/>
      <c r="D11" s="57"/>
      <c r="E11" s="58"/>
      <c r="F11" s="58"/>
    </row>
    <row r="12" spans="1:6" x14ac:dyDescent="0.25">
      <c r="A12" s="54"/>
      <c r="B12" s="193" t="s">
        <v>283</v>
      </c>
      <c r="C12" s="56">
        <f>3*3*0.2</f>
        <v>1.8</v>
      </c>
      <c r="D12" s="57" t="s">
        <v>43</v>
      </c>
      <c r="E12" s="58">
        <v>300</v>
      </c>
      <c r="F12" s="58">
        <f t="shared" si="0"/>
        <v>540</v>
      </c>
    </row>
    <row r="13" spans="1:6" x14ac:dyDescent="0.25">
      <c r="A13" s="54"/>
      <c r="B13" s="192" t="s">
        <v>103</v>
      </c>
      <c r="C13" s="58">
        <f>C12*150/1000</f>
        <v>0.27</v>
      </c>
      <c r="D13" s="194" t="s">
        <v>108</v>
      </c>
      <c r="E13" s="58">
        <v>2000</v>
      </c>
      <c r="F13" s="58">
        <f t="shared" si="0"/>
        <v>540</v>
      </c>
    </row>
    <row r="14" spans="1:6" x14ac:dyDescent="0.25">
      <c r="A14" s="54"/>
      <c r="B14" s="192" t="s">
        <v>104</v>
      </c>
      <c r="C14" s="56">
        <f>3*4</f>
        <v>12</v>
      </c>
      <c r="D14" s="194" t="s">
        <v>41</v>
      </c>
      <c r="E14" s="58">
        <v>30</v>
      </c>
      <c r="F14" s="58">
        <f t="shared" si="0"/>
        <v>360</v>
      </c>
    </row>
    <row r="15" spans="1:6" x14ac:dyDescent="0.25">
      <c r="A15" s="54"/>
      <c r="B15" s="192" t="s">
        <v>105</v>
      </c>
      <c r="C15" s="56">
        <f>3*3</f>
        <v>9</v>
      </c>
      <c r="D15" s="194" t="s">
        <v>42</v>
      </c>
      <c r="E15" s="58">
        <v>2</v>
      </c>
      <c r="F15" s="58">
        <f t="shared" si="0"/>
        <v>18</v>
      </c>
    </row>
    <row r="16" spans="1:6" x14ac:dyDescent="0.25">
      <c r="A16" s="54"/>
      <c r="B16" s="195" t="s">
        <v>113</v>
      </c>
      <c r="C16" s="56">
        <f t="shared" ref="C16:C20" si="1">3*3</f>
        <v>9</v>
      </c>
      <c r="D16" s="194" t="s">
        <v>42</v>
      </c>
      <c r="E16" s="58">
        <v>20</v>
      </c>
      <c r="F16" s="58">
        <f t="shared" si="0"/>
        <v>180</v>
      </c>
    </row>
    <row r="17" spans="1:6" x14ac:dyDescent="0.25">
      <c r="A17" s="54"/>
      <c r="B17" s="195" t="s">
        <v>112</v>
      </c>
      <c r="C17" s="56">
        <f t="shared" si="1"/>
        <v>9</v>
      </c>
      <c r="D17" s="194" t="s">
        <v>42</v>
      </c>
      <c r="E17" s="58">
        <v>12.5</v>
      </c>
      <c r="F17" s="58">
        <f t="shared" si="0"/>
        <v>112.5</v>
      </c>
    </row>
    <row r="18" spans="1:6" x14ac:dyDescent="0.25">
      <c r="A18" s="54"/>
      <c r="B18" s="192" t="s">
        <v>106</v>
      </c>
      <c r="C18" s="56">
        <f t="shared" si="1"/>
        <v>9</v>
      </c>
      <c r="D18" s="194" t="s">
        <v>42</v>
      </c>
      <c r="E18" s="58">
        <v>4.5</v>
      </c>
      <c r="F18" s="58">
        <f t="shared" si="0"/>
        <v>40.5</v>
      </c>
    </row>
    <row r="19" spans="1:6" x14ac:dyDescent="0.25">
      <c r="A19" s="54"/>
      <c r="B19" s="195" t="s">
        <v>109</v>
      </c>
      <c r="C19" s="56">
        <f t="shared" si="1"/>
        <v>9</v>
      </c>
      <c r="D19" s="194" t="s">
        <v>42</v>
      </c>
      <c r="E19" s="58">
        <v>30</v>
      </c>
      <c r="F19" s="58">
        <f t="shared" si="0"/>
        <v>270</v>
      </c>
    </row>
    <row r="20" spans="1:6" x14ac:dyDescent="0.25">
      <c r="A20" s="54"/>
      <c r="B20" s="195" t="s">
        <v>111</v>
      </c>
      <c r="C20" s="56">
        <f t="shared" si="1"/>
        <v>9</v>
      </c>
      <c r="D20" s="194" t="s">
        <v>42</v>
      </c>
      <c r="E20" s="58">
        <v>40</v>
      </c>
      <c r="F20" s="58">
        <f t="shared" si="0"/>
        <v>360</v>
      </c>
    </row>
    <row r="21" spans="1:6" x14ac:dyDescent="0.25">
      <c r="A21" s="54"/>
      <c r="B21" s="195" t="s">
        <v>110</v>
      </c>
      <c r="C21" s="56">
        <f>3+3</f>
        <v>6</v>
      </c>
      <c r="D21" s="196" t="s">
        <v>41</v>
      </c>
      <c r="E21" s="58">
        <v>75</v>
      </c>
      <c r="F21" s="58">
        <f t="shared" si="0"/>
        <v>450</v>
      </c>
    </row>
    <row r="22" spans="1:6" x14ac:dyDescent="0.25">
      <c r="A22" s="54"/>
      <c r="B22" s="192"/>
      <c r="C22" s="56"/>
      <c r="D22" s="194"/>
      <c r="E22" s="58"/>
      <c r="F22" s="58"/>
    </row>
    <row r="23" spans="1:6" x14ac:dyDescent="0.25">
      <c r="A23" s="54"/>
      <c r="B23" s="192"/>
      <c r="C23" s="56"/>
      <c r="D23" s="194"/>
      <c r="E23" s="58"/>
      <c r="F23" s="58"/>
    </row>
    <row r="24" spans="1:6" x14ac:dyDescent="0.25">
      <c r="A24" s="54"/>
      <c r="B24" s="222" t="s">
        <v>308</v>
      </c>
      <c r="C24" s="56"/>
      <c r="D24" s="194"/>
      <c r="E24" s="58"/>
      <c r="F24" s="58"/>
    </row>
    <row r="25" spans="1:6" x14ac:dyDescent="0.25">
      <c r="A25" s="54"/>
      <c r="B25" s="192"/>
      <c r="C25" s="56"/>
      <c r="D25" s="194"/>
      <c r="E25" s="58"/>
      <c r="F25" s="58"/>
    </row>
    <row r="26" spans="1:6" ht="26.4" x14ac:dyDescent="0.25">
      <c r="A26" s="54"/>
      <c r="B26" s="144" t="s">
        <v>307</v>
      </c>
      <c r="C26" s="56">
        <v>8</v>
      </c>
      <c r="D26" s="57" t="s">
        <v>44</v>
      </c>
      <c r="E26" s="58">
        <v>325</v>
      </c>
      <c r="F26" s="58">
        <f>IF(C26&gt;0,C26*E26,"")</f>
        <v>2600</v>
      </c>
    </row>
    <row r="27" spans="1:6" x14ac:dyDescent="0.25">
      <c r="A27" s="54"/>
      <c r="B27" s="55"/>
      <c r="D27" s="57"/>
      <c r="E27" s="60"/>
      <c r="F27" s="58"/>
    </row>
    <row r="28" spans="1:6" x14ac:dyDescent="0.25">
      <c r="A28" s="57"/>
      <c r="B28" s="55"/>
      <c r="D28" s="57"/>
      <c r="E28" s="60"/>
      <c r="F28" s="58"/>
    </row>
    <row r="29" spans="1:6" ht="13.8" thickBot="1" x14ac:dyDescent="0.3">
      <c r="A29" s="57"/>
      <c r="B29" s="68" t="s">
        <v>137</v>
      </c>
      <c r="D29" s="57"/>
      <c r="E29" s="60"/>
      <c r="F29" s="66">
        <f>SUM(F4:F28)</f>
        <v>6578</v>
      </c>
    </row>
    <row r="30" spans="1:6" ht="13.8" thickTop="1" x14ac:dyDescent="0.25">
      <c r="A30" s="57"/>
      <c r="B30" s="65"/>
      <c r="D30" s="57"/>
      <c r="E30" s="60"/>
      <c r="F30" s="67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MJ15"/>
  <sheetViews>
    <sheetView showOutlineSymbols="0" view="pageBreakPreview" zoomScaleNormal="100" zoomScaleSheetLayoutView="100" workbookViewId="0">
      <selection activeCell="B9" sqref="B9"/>
    </sheetView>
  </sheetViews>
  <sheetFormatPr defaultColWidth="8.88671875" defaultRowHeight="13.2" x14ac:dyDescent="0.25"/>
  <cols>
    <col min="1" max="1" width="6" style="167" customWidth="1"/>
    <col min="2" max="2" width="55.88671875" style="143" customWidth="1"/>
    <col min="3" max="3" width="7.5546875" style="168" customWidth="1"/>
    <col min="4" max="4" width="5.44140625" style="167" customWidth="1"/>
    <col min="5" max="5" width="10.88671875" style="169" customWidth="1"/>
    <col min="6" max="6" width="11.5546875" style="147" customWidth="1"/>
    <col min="7" max="1024" width="8.88671875" style="147"/>
    <col min="1025" max="16384" width="8.88671875" style="141"/>
  </cols>
  <sheetData>
    <row r="1" spans="1:6" x14ac:dyDescent="0.25">
      <c r="A1" s="155"/>
      <c r="B1" s="156"/>
      <c r="C1" s="170" t="s">
        <v>38</v>
      </c>
      <c r="D1" s="171" t="s">
        <v>13</v>
      </c>
      <c r="E1" s="172" t="s">
        <v>39</v>
      </c>
      <c r="F1" s="171" t="s">
        <v>4</v>
      </c>
    </row>
    <row r="2" spans="1:6" x14ac:dyDescent="0.25">
      <c r="A2" s="157"/>
      <c r="B2" s="158" t="s">
        <v>45</v>
      </c>
      <c r="C2" s="159"/>
      <c r="D2" s="145"/>
      <c r="E2" s="160"/>
      <c r="F2" s="160"/>
    </row>
    <row r="3" spans="1:6" x14ac:dyDescent="0.25">
      <c r="A3" s="154"/>
      <c r="B3" s="144"/>
      <c r="C3" s="159"/>
      <c r="D3" s="145"/>
      <c r="E3" s="160"/>
      <c r="F3" s="160"/>
    </row>
    <row r="4" spans="1:6" ht="26.4" x14ac:dyDescent="0.25">
      <c r="A4" s="154"/>
      <c r="B4" s="144" t="s">
        <v>281</v>
      </c>
      <c r="C4" s="159">
        <f>(10*2+11*2)*90/1000</f>
        <v>3.78</v>
      </c>
      <c r="D4" s="145" t="s">
        <v>108</v>
      </c>
      <c r="E4" s="160">
        <v>5750</v>
      </c>
      <c r="F4" s="160">
        <f>IF(C4&gt;0,C4*E4,"")</f>
        <v>21735</v>
      </c>
    </row>
    <row r="5" spans="1:6" ht="26.4" x14ac:dyDescent="0.25">
      <c r="A5" s="154"/>
      <c r="B5" s="146" t="s">
        <v>278</v>
      </c>
      <c r="C5" s="160">
        <f>11*6</f>
        <v>66</v>
      </c>
      <c r="D5" s="145" t="s">
        <v>41</v>
      </c>
      <c r="E5" s="160">
        <v>25</v>
      </c>
      <c r="F5" s="160">
        <f>IF(C5&gt;0,C5*E5,"")</f>
        <v>1650</v>
      </c>
    </row>
    <row r="6" spans="1:6" x14ac:dyDescent="0.25">
      <c r="A6" s="154"/>
      <c r="B6" s="144"/>
      <c r="C6" s="159"/>
      <c r="D6" s="145"/>
      <c r="E6" s="160"/>
      <c r="F6" s="160"/>
    </row>
    <row r="7" spans="1:6" x14ac:dyDescent="0.25">
      <c r="A7" s="154"/>
      <c r="B7" s="144" t="s">
        <v>277</v>
      </c>
      <c r="C7" s="160">
        <v>8</v>
      </c>
      <c r="D7" s="145" t="s">
        <v>50</v>
      </c>
      <c r="E7" s="160">
        <v>250</v>
      </c>
      <c r="F7" s="160">
        <f>IF(C7&gt;0,C7*E7,"")</f>
        <v>2000</v>
      </c>
    </row>
    <row r="8" spans="1:6" x14ac:dyDescent="0.25">
      <c r="A8" s="154"/>
      <c r="B8" s="144"/>
      <c r="C8" s="160"/>
      <c r="D8" s="145"/>
      <c r="E8" s="160"/>
      <c r="F8" s="160"/>
    </row>
    <row r="9" spans="1:6" ht="26.4" x14ac:dyDescent="0.25">
      <c r="A9" s="154"/>
      <c r="B9" s="144" t="s">
        <v>310</v>
      </c>
      <c r="C9" s="160">
        <v>1</v>
      </c>
      <c r="D9" s="145" t="s">
        <v>50</v>
      </c>
      <c r="E9" s="160">
        <v>5000</v>
      </c>
      <c r="F9" s="160">
        <f>IF(C9&gt;0,C9*E9,"")</f>
        <v>5000</v>
      </c>
    </row>
    <row r="10" spans="1:6" x14ac:dyDescent="0.25">
      <c r="A10" s="154"/>
      <c r="B10" s="161"/>
      <c r="C10" s="159"/>
      <c r="D10" s="145"/>
      <c r="E10" s="160"/>
      <c r="F10" s="160"/>
    </row>
    <row r="11" spans="1:6" x14ac:dyDescent="0.25">
      <c r="A11" s="154"/>
      <c r="B11" s="144" t="s">
        <v>279</v>
      </c>
      <c r="C11" s="160">
        <v>1</v>
      </c>
      <c r="D11" s="145" t="s">
        <v>50</v>
      </c>
      <c r="E11" s="160">
        <v>2500</v>
      </c>
      <c r="F11" s="160">
        <f>IF(C11&gt;0,C11*E11,"")</f>
        <v>2500</v>
      </c>
    </row>
    <row r="12" spans="1:6" x14ac:dyDescent="0.25">
      <c r="A12" s="154"/>
      <c r="B12" s="144"/>
      <c r="C12" s="159"/>
      <c r="D12" s="145"/>
      <c r="E12" s="160"/>
      <c r="F12" s="160"/>
    </row>
    <row r="13" spans="1:6" x14ac:dyDescent="0.25">
      <c r="A13" s="145"/>
      <c r="B13" s="144"/>
      <c r="C13" s="162"/>
      <c r="D13" s="145"/>
      <c r="E13" s="160"/>
      <c r="F13" s="160"/>
    </row>
    <row r="14" spans="1:6" x14ac:dyDescent="0.25">
      <c r="A14" s="145"/>
      <c r="B14" s="68" t="s">
        <v>137</v>
      </c>
      <c r="C14" s="162"/>
      <c r="D14" s="145"/>
      <c r="E14" s="164"/>
      <c r="F14" s="165">
        <f>SUM(F4:F13)</f>
        <v>32885</v>
      </c>
    </row>
    <row r="15" spans="1:6" ht="13.8" thickTop="1" x14ac:dyDescent="0.25">
      <c r="A15" s="145"/>
      <c r="B15" s="166"/>
      <c r="C15" s="159"/>
      <c r="D15" s="145"/>
      <c r="E15" s="160"/>
      <c r="F15" s="160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J10"/>
  <sheetViews>
    <sheetView showOutlineSymbols="0" view="pageBreakPreview" zoomScaleNormal="100" zoomScaleSheetLayoutView="100" workbookViewId="0">
      <selection activeCell="F4" sqref="F4"/>
    </sheetView>
  </sheetViews>
  <sheetFormatPr defaultColWidth="9.109375" defaultRowHeight="13.2" x14ac:dyDescent="0.25"/>
  <cols>
    <col min="1" max="1" width="6.44140625" style="77" customWidth="1"/>
    <col min="2" max="2" width="55.88671875" style="78" customWidth="1"/>
    <col min="3" max="3" width="7.5546875" style="79" customWidth="1"/>
    <col min="4" max="4" width="5.44140625" style="80" customWidth="1"/>
    <col min="5" max="5" width="9.5546875" style="81" customWidth="1"/>
    <col min="6" max="6" width="11.5546875" style="82" customWidth="1"/>
    <col min="7" max="1024" width="9.109375" style="82"/>
  </cols>
  <sheetData>
    <row r="1" spans="1:6" x14ac:dyDescent="0.25">
      <c r="A1" s="83"/>
      <c r="B1" s="84"/>
      <c r="C1" s="85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47</v>
      </c>
      <c r="C2" s="89"/>
      <c r="D2" s="63"/>
      <c r="E2" s="64"/>
      <c r="F2" s="64"/>
    </row>
    <row r="3" spans="1:6" x14ac:dyDescent="0.25">
      <c r="A3" s="49"/>
      <c r="B3" s="88"/>
      <c r="C3" s="89"/>
      <c r="D3" s="63"/>
      <c r="E3" s="64"/>
      <c r="F3" s="64"/>
    </row>
    <row r="4" spans="1:6" ht="26.4" x14ac:dyDescent="0.25">
      <c r="A4" s="49"/>
      <c r="B4" s="189" t="s">
        <v>276</v>
      </c>
      <c r="C4" s="89">
        <v>253.47</v>
      </c>
      <c r="D4" s="63" t="s">
        <v>42</v>
      </c>
      <c r="E4" s="64">
        <v>100</v>
      </c>
      <c r="F4" s="64">
        <f>C4*E4</f>
        <v>25347</v>
      </c>
    </row>
    <row r="5" spans="1:6" x14ac:dyDescent="0.25">
      <c r="A5" s="49"/>
      <c r="B5" s="189"/>
      <c r="C5" s="89"/>
      <c r="D5" s="63"/>
      <c r="E5" s="64"/>
      <c r="F5" s="64"/>
    </row>
    <row r="6" spans="1:6" x14ac:dyDescent="0.25">
      <c r="A6" s="49"/>
      <c r="B6" s="189"/>
      <c r="C6" s="89"/>
      <c r="D6" s="63"/>
      <c r="E6" s="64"/>
      <c r="F6" s="64"/>
    </row>
    <row r="7" spans="1:6" x14ac:dyDescent="0.25">
      <c r="A7" s="49"/>
      <c r="B7" s="59"/>
      <c r="C7" s="89"/>
      <c r="D7" s="63"/>
      <c r="E7" s="64"/>
      <c r="F7" s="64"/>
    </row>
    <row r="8" spans="1:6" x14ac:dyDescent="0.25">
      <c r="A8" s="54"/>
      <c r="B8" s="62"/>
      <c r="C8" s="89"/>
      <c r="D8" s="63"/>
      <c r="E8" s="64"/>
      <c r="F8" s="64"/>
    </row>
    <row r="9" spans="1:6" x14ac:dyDescent="0.25">
      <c r="A9" s="54"/>
      <c r="B9" s="65" t="s">
        <v>137</v>
      </c>
      <c r="C9" s="90"/>
      <c r="D9" s="63"/>
      <c r="E9" s="91"/>
      <c r="F9" s="92">
        <f>SUM(F4:F8)</f>
        <v>25347</v>
      </c>
    </row>
    <row r="10" spans="1:6" ht="13.8" thickTop="1" x14ac:dyDescent="0.25">
      <c r="A10" s="54"/>
      <c r="B10" s="62"/>
      <c r="C10" s="89"/>
      <c r="D10" s="63"/>
      <c r="E10" s="64"/>
      <c r="F10" s="64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MJ78"/>
  <sheetViews>
    <sheetView showOutlineSymbols="0" view="pageBreakPreview" zoomScaleNormal="100" zoomScaleSheetLayoutView="100" workbookViewId="0">
      <selection activeCell="C6" sqref="C6"/>
    </sheetView>
  </sheetViews>
  <sheetFormatPr defaultColWidth="9.109375" defaultRowHeight="13.2" x14ac:dyDescent="0.25"/>
  <cols>
    <col min="1" max="1" width="5.109375" style="77" customWidth="1"/>
    <col min="2" max="2" width="55.88671875" style="78" customWidth="1"/>
    <col min="3" max="3" width="7.5546875" style="79" customWidth="1"/>
    <col min="4" max="4" width="5.44140625" style="80" customWidth="1"/>
    <col min="5" max="5" width="10.109375" style="81" customWidth="1"/>
    <col min="6" max="6" width="11.5546875" style="82" customWidth="1"/>
    <col min="7" max="1024" width="9.109375" style="82"/>
  </cols>
  <sheetData>
    <row r="1" spans="1:6" x14ac:dyDescent="0.25">
      <c r="A1" s="83"/>
      <c r="B1" s="84"/>
      <c r="C1" s="85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48</v>
      </c>
      <c r="C2" s="89"/>
      <c r="D2" s="63"/>
      <c r="E2" s="64"/>
      <c r="F2" s="64"/>
    </row>
    <row r="3" spans="1:6" x14ac:dyDescent="0.25">
      <c r="A3" s="54"/>
      <c r="B3" s="62"/>
      <c r="C3" s="89"/>
      <c r="D3" s="63"/>
      <c r="E3" s="64"/>
      <c r="F3" s="64"/>
    </row>
    <row r="4" spans="1:6" x14ac:dyDescent="0.25">
      <c r="A4" s="54"/>
      <c r="B4" s="133" t="s">
        <v>255</v>
      </c>
      <c r="C4" s="89"/>
      <c r="D4" s="63"/>
      <c r="E4" s="64"/>
      <c r="F4" s="64"/>
    </row>
    <row r="5" spans="1:6" x14ac:dyDescent="0.25">
      <c r="A5" s="54"/>
      <c r="B5" s="184"/>
      <c r="C5" s="89"/>
      <c r="D5" s="63"/>
      <c r="E5" s="64"/>
      <c r="F5" s="64"/>
    </row>
    <row r="6" spans="1:6" x14ac:dyDescent="0.25">
      <c r="A6" s="54"/>
      <c r="B6" s="143" t="s">
        <v>85</v>
      </c>
      <c r="C6" s="89">
        <v>406</v>
      </c>
      <c r="D6" s="63" t="s">
        <v>42</v>
      </c>
      <c r="E6" s="64">
        <f>20</f>
        <v>20</v>
      </c>
      <c r="F6" s="64">
        <f>IF(C6&gt;0,C6*E6,"")</f>
        <v>8120</v>
      </c>
    </row>
    <row r="7" spans="1:6" ht="13.5" customHeight="1" x14ac:dyDescent="0.25">
      <c r="A7" s="54"/>
      <c r="C7" s="89"/>
      <c r="D7" s="63"/>
      <c r="E7" s="64"/>
      <c r="F7" s="64"/>
    </row>
    <row r="8" spans="1:6" ht="13.5" customHeight="1" x14ac:dyDescent="0.25">
      <c r="A8" s="54"/>
      <c r="B8" s="78" t="s">
        <v>254</v>
      </c>
      <c r="C8" s="89">
        <v>406</v>
      </c>
      <c r="D8" s="63" t="s">
        <v>42</v>
      </c>
      <c r="E8" s="64">
        <f>25+10+110</f>
        <v>145</v>
      </c>
      <c r="F8" s="64">
        <f t="shared" ref="F8:F13" si="0">IF(C8&gt;0,C8*E8,"")</f>
        <v>58870</v>
      </c>
    </row>
    <row r="9" spans="1:6" ht="13.5" customHeight="1" x14ac:dyDescent="0.25">
      <c r="A9" s="54"/>
      <c r="B9" s="187" t="s">
        <v>87</v>
      </c>
      <c r="C9" s="89">
        <f>11.1+4.3+7.5+4.3+5.8+10+4.5+7.3+4.1</f>
        <v>58.9</v>
      </c>
      <c r="D9" s="63" t="s">
        <v>41</v>
      </c>
      <c r="E9" s="64">
        <v>35</v>
      </c>
      <c r="F9" s="64">
        <f t="shared" si="0"/>
        <v>2061.5</v>
      </c>
    </row>
    <row r="10" spans="1:6" ht="13.5" customHeight="1" x14ac:dyDescent="0.25">
      <c r="A10" s="54"/>
      <c r="B10" s="187" t="s">
        <v>88</v>
      </c>
      <c r="C10" s="89">
        <f>3.7+2.5+4.75+2.2+1.7+2*2+6+1.1+4.1+2.1*2+3.5+9.2+8.3+6.4+1.5*2</f>
        <v>64.650000000000006</v>
      </c>
      <c r="D10" s="63" t="s">
        <v>41</v>
      </c>
      <c r="E10" s="64">
        <v>20</v>
      </c>
      <c r="F10" s="64">
        <f t="shared" si="0"/>
        <v>1293</v>
      </c>
    </row>
    <row r="11" spans="1:6" ht="13.5" customHeight="1" x14ac:dyDescent="0.25">
      <c r="A11" s="54"/>
      <c r="B11" s="187" t="s">
        <v>90</v>
      </c>
      <c r="C11" s="89">
        <f>4.5*2+4.75+4+3.75*3+2+3.25+2*2+1*3</f>
        <v>41.25</v>
      </c>
      <c r="D11" s="63" t="s">
        <v>41</v>
      </c>
      <c r="E11" s="64">
        <v>30</v>
      </c>
      <c r="F11" s="64">
        <f t="shared" si="0"/>
        <v>1237.5</v>
      </c>
    </row>
    <row r="12" spans="1:6" ht="13.5" customHeight="1" x14ac:dyDescent="0.25">
      <c r="A12" s="54"/>
      <c r="B12" s="187" t="s">
        <v>89</v>
      </c>
      <c r="C12" s="89">
        <f>3.776+3.804+2.816+5.085+2.694+2.812+2.889+3.237+2.793+3.503+2.407+2.373+2.327+2.339+4.876+4.997+4.506+4.542+5.77+3.3</f>
        <v>70.845999999999989</v>
      </c>
      <c r="D12" s="63" t="s">
        <v>41</v>
      </c>
      <c r="E12" s="64">
        <v>30</v>
      </c>
      <c r="F12" s="64">
        <f t="shared" si="0"/>
        <v>2125.3799999999997</v>
      </c>
    </row>
    <row r="13" spans="1:6" ht="13.5" customHeight="1" x14ac:dyDescent="0.25">
      <c r="A13" s="54"/>
      <c r="B13" s="187" t="s">
        <v>91</v>
      </c>
      <c r="C13" s="89">
        <v>6</v>
      </c>
      <c r="D13" s="63" t="s">
        <v>41</v>
      </c>
      <c r="E13" s="64">
        <v>35</v>
      </c>
      <c r="F13" s="64">
        <f t="shared" si="0"/>
        <v>210</v>
      </c>
    </row>
    <row r="14" spans="1:6" x14ac:dyDescent="0.25">
      <c r="A14" s="54"/>
      <c r="B14" s="143"/>
      <c r="C14" s="89"/>
      <c r="D14" s="63"/>
      <c r="E14" s="64"/>
      <c r="F14" s="64"/>
    </row>
    <row r="15" spans="1:6" x14ac:dyDescent="0.25">
      <c r="A15" s="54"/>
      <c r="B15" s="143" t="s">
        <v>248</v>
      </c>
      <c r="C15" s="89">
        <f>3.7+2.5+4.75+2.2+1.7+2*2+6+1.1+4.1+2.1*2+3.5+9.2+8.3+6.4+1.5*2-2.1*2-1.5*2-2*2</f>
        <v>53.45</v>
      </c>
      <c r="D15" s="63" t="s">
        <v>41</v>
      </c>
      <c r="E15" s="64">
        <f>7.5</f>
        <v>7.5</v>
      </c>
      <c r="F15" s="64">
        <f t="shared" ref="F15" si="1">IF(C15&gt;0,C15*E15,"")</f>
        <v>400.875</v>
      </c>
    </row>
    <row r="16" spans="1:6" x14ac:dyDescent="0.25">
      <c r="A16" s="54"/>
      <c r="B16" s="220" t="s">
        <v>250</v>
      </c>
      <c r="C16" s="89">
        <f>3.7+2.5+4.75+2.2+1.7+2*2+6+1.1+4.1+2.1*2+3.5+9.2+8.3+6.4+1.5*2</f>
        <v>64.650000000000006</v>
      </c>
      <c r="D16" s="63" t="s">
        <v>41</v>
      </c>
      <c r="E16" s="64">
        <v>60</v>
      </c>
      <c r="F16" s="64">
        <f t="shared" ref="F16" si="2">IF(C16&gt;0,C16*E16,"")</f>
        <v>3879.0000000000005</v>
      </c>
    </row>
    <row r="17" spans="1:6" x14ac:dyDescent="0.25">
      <c r="A17" s="54"/>
      <c r="B17" s="143"/>
      <c r="C17" s="89"/>
      <c r="D17" s="63"/>
      <c r="E17" s="64"/>
      <c r="F17" s="64"/>
    </row>
    <row r="18" spans="1:6" ht="13.5" customHeight="1" x14ac:dyDescent="0.25">
      <c r="A18" s="54"/>
      <c r="B18" s="143" t="s">
        <v>249</v>
      </c>
      <c r="C18" s="89">
        <f>9*3+2*2.5</f>
        <v>32</v>
      </c>
      <c r="D18" s="63" t="s">
        <v>41</v>
      </c>
      <c r="E18" s="64">
        <f>7.5</f>
        <v>7.5</v>
      </c>
      <c r="F18" s="64">
        <f t="shared" ref="F18:F19" si="3">IF(C18&gt;0,C18*E18,"")</f>
        <v>240</v>
      </c>
    </row>
    <row r="19" spans="1:6" ht="13.5" customHeight="1" x14ac:dyDescent="0.25">
      <c r="A19" s="54"/>
      <c r="B19" s="220" t="s">
        <v>250</v>
      </c>
      <c r="C19" s="89">
        <f>9*3+2*2.5</f>
        <v>32</v>
      </c>
      <c r="D19" s="63" t="s">
        <v>41</v>
      </c>
      <c r="E19" s="64">
        <v>55</v>
      </c>
      <c r="F19" s="64">
        <f t="shared" si="3"/>
        <v>1760</v>
      </c>
    </row>
    <row r="20" spans="1:6" ht="13.5" customHeight="1" x14ac:dyDescent="0.25">
      <c r="A20" s="54"/>
      <c r="B20" s="220" t="s">
        <v>86</v>
      </c>
      <c r="C20" s="89">
        <v>11</v>
      </c>
      <c r="D20" s="63" t="s">
        <v>50</v>
      </c>
      <c r="E20" s="64">
        <v>100</v>
      </c>
      <c r="F20" s="64">
        <f t="shared" ref="F20" si="4">IF(C20&gt;0,C20*E20,"")</f>
        <v>1100</v>
      </c>
    </row>
    <row r="21" spans="1:6" ht="13.5" customHeight="1" x14ac:dyDescent="0.25">
      <c r="A21" s="54"/>
      <c r="B21" s="187"/>
      <c r="C21" s="89"/>
      <c r="D21" s="63"/>
      <c r="E21" s="64"/>
      <c r="F21" s="64"/>
    </row>
    <row r="22" spans="1:6" ht="13.5" customHeight="1" x14ac:dyDescent="0.25">
      <c r="A22" s="54"/>
      <c r="B22" s="188" t="s">
        <v>257</v>
      </c>
      <c r="C22" s="89">
        <f>2*2+1.75+1.25*2+1.7+4.5*4+2.5+0.75</f>
        <v>31.2</v>
      </c>
      <c r="D22" s="63" t="s">
        <v>41</v>
      </c>
      <c r="E22" s="64">
        <v>7.5</v>
      </c>
      <c r="F22" s="64">
        <f t="shared" ref="F22" si="5">IF(C22&gt;0,C22*E22,"")</f>
        <v>234</v>
      </c>
    </row>
    <row r="23" spans="1:6" ht="13.5" customHeight="1" x14ac:dyDescent="0.25">
      <c r="A23" s="54"/>
      <c r="B23" s="187"/>
      <c r="C23" s="89"/>
      <c r="D23" s="63"/>
      <c r="E23" s="64"/>
      <c r="F23" s="64"/>
    </row>
    <row r="24" spans="1:6" ht="13.5" customHeight="1" x14ac:dyDescent="0.25">
      <c r="A24" s="54"/>
      <c r="B24" s="188" t="s">
        <v>258</v>
      </c>
      <c r="C24" s="89">
        <f>2*2+1.75+1.25*2+1.7+4.5*4+2.5+0.75+1.25*10+0.6*10+1.5*2+2.4+2.4*2+5+2.5*2+2.4</f>
        <v>72.300000000000011</v>
      </c>
      <c r="D24" s="63" t="s">
        <v>41</v>
      </c>
      <c r="E24" s="64">
        <v>75</v>
      </c>
      <c r="F24" s="64">
        <f t="shared" ref="F24" si="6">IF(C24&gt;0,C24*E24,"")</f>
        <v>5422.5000000000009</v>
      </c>
    </row>
    <row r="25" spans="1:6" ht="13.5" customHeight="1" x14ac:dyDescent="0.25">
      <c r="A25" s="54"/>
      <c r="B25" s="187"/>
      <c r="C25" s="89"/>
      <c r="D25" s="63"/>
      <c r="E25" s="64"/>
      <c r="F25" s="64"/>
    </row>
    <row r="26" spans="1:6" ht="26.4" x14ac:dyDescent="0.25">
      <c r="A26" s="54"/>
      <c r="B26" s="188" t="s">
        <v>259</v>
      </c>
      <c r="C26" s="89">
        <f>406-226</f>
        <v>180</v>
      </c>
      <c r="D26" s="63" t="s">
        <v>42</v>
      </c>
      <c r="E26" s="64">
        <v>35</v>
      </c>
      <c r="F26" s="64">
        <f>IF(C26&gt;0,C26*E26,"")</f>
        <v>6300</v>
      </c>
    </row>
    <row r="27" spans="1:6" x14ac:dyDescent="0.25">
      <c r="A27" s="54"/>
      <c r="B27" s="188"/>
      <c r="C27" s="89"/>
      <c r="D27" s="63"/>
      <c r="E27" s="64"/>
      <c r="F27" s="64"/>
    </row>
    <row r="28" spans="1:6" x14ac:dyDescent="0.25">
      <c r="A28" s="54"/>
      <c r="B28" s="188" t="s">
        <v>264</v>
      </c>
      <c r="C28" s="89">
        <v>5</v>
      </c>
      <c r="D28" s="63" t="s">
        <v>44</v>
      </c>
      <c r="E28" s="64">
        <v>1250</v>
      </c>
      <c r="F28" s="64">
        <f>IF(C28&gt;0,C28*E28,"")</f>
        <v>6250</v>
      </c>
    </row>
    <row r="29" spans="1:6" ht="13.5" customHeight="1" x14ac:dyDescent="0.25">
      <c r="A29" s="54"/>
      <c r="B29" s="187"/>
      <c r="C29" s="89"/>
      <c r="D29" s="63"/>
      <c r="E29" s="64"/>
      <c r="F29" s="64"/>
    </row>
    <row r="30" spans="1:6" ht="13.5" customHeight="1" x14ac:dyDescent="0.25">
      <c r="A30" s="54"/>
      <c r="B30" s="221" t="s">
        <v>262</v>
      </c>
      <c r="C30" s="89"/>
      <c r="D30" s="63"/>
      <c r="E30" s="64"/>
      <c r="F30" s="64"/>
    </row>
    <row r="31" spans="1:6" ht="13.5" customHeight="1" x14ac:dyDescent="0.25">
      <c r="A31" s="54"/>
      <c r="B31" s="221"/>
      <c r="C31" s="89"/>
      <c r="D31" s="63"/>
      <c r="E31" s="64"/>
      <c r="F31" s="64"/>
    </row>
    <row r="32" spans="1:6" ht="13.5" customHeight="1" x14ac:dyDescent="0.25">
      <c r="A32" s="54"/>
      <c r="B32" s="188" t="s">
        <v>263</v>
      </c>
      <c r="C32" s="89">
        <v>50.24</v>
      </c>
      <c r="D32" s="63" t="s">
        <v>42</v>
      </c>
      <c r="E32" s="64">
        <v>85</v>
      </c>
      <c r="F32" s="64">
        <f t="shared" ref="F32" si="7">IF(C32&gt;0,C32*E32,"")</f>
        <v>4270.4000000000005</v>
      </c>
    </row>
    <row r="33" spans="1:6" ht="13.5" customHeight="1" x14ac:dyDescent="0.25">
      <c r="A33" s="54"/>
      <c r="B33" s="187"/>
      <c r="C33" s="89"/>
      <c r="D33" s="63"/>
      <c r="E33" s="64"/>
      <c r="F33" s="64"/>
    </row>
    <row r="34" spans="1:6" ht="13.5" customHeight="1" x14ac:dyDescent="0.25">
      <c r="A34" s="54"/>
      <c r="B34" s="78" t="s">
        <v>254</v>
      </c>
      <c r="C34" s="89">
        <v>50.24</v>
      </c>
      <c r="D34" s="63" t="s">
        <v>42</v>
      </c>
      <c r="E34" s="64">
        <f>25+10+110</f>
        <v>145</v>
      </c>
      <c r="F34" s="64">
        <f t="shared" ref="F34:F45" si="8">IF(C34&gt;0,C34*E34,"")</f>
        <v>7284.8</v>
      </c>
    </row>
    <row r="35" spans="1:6" ht="13.5" customHeight="1" x14ac:dyDescent="0.25">
      <c r="A35" s="54"/>
      <c r="B35" s="187" t="s">
        <v>87</v>
      </c>
      <c r="C35" s="89">
        <f>6.5+2.5</f>
        <v>9</v>
      </c>
      <c r="D35" s="63" t="s">
        <v>41</v>
      </c>
      <c r="E35" s="64">
        <v>35</v>
      </c>
      <c r="F35" s="64">
        <f t="shared" si="8"/>
        <v>315</v>
      </c>
    </row>
    <row r="36" spans="1:6" ht="13.5" customHeight="1" x14ac:dyDescent="0.25">
      <c r="A36" s="54"/>
      <c r="B36" s="187" t="s">
        <v>88</v>
      </c>
      <c r="C36" s="89">
        <f>(6.5+2.5)*2</f>
        <v>18</v>
      </c>
      <c r="D36" s="63" t="s">
        <v>41</v>
      </c>
      <c r="E36" s="64">
        <v>20</v>
      </c>
      <c r="F36" s="64">
        <f t="shared" si="8"/>
        <v>360</v>
      </c>
    </row>
    <row r="37" spans="1:6" ht="13.5" customHeight="1" x14ac:dyDescent="0.25">
      <c r="A37" s="54"/>
      <c r="B37" s="187"/>
      <c r="C37" s="89"/>
      <c r="D37" s="63"/>
      <c r="E37" s="64"/>
      <c r="F37" s="64"/>
    </row>
    <row r="38" spans="1:6" ht="13.5" customHeight="1" x14ac:dyDescent="0.25">
      <c r="A38" s="54"/>
      <c r="B38" s="188" t="s">
        <v>309</v>
      </c>
      <c r="C38" s="89">
        <f>7.2*3.2</f>
        <v>23.040000000000003</v>
      </c>
      <c r="D38" s="63" t="s">
        <v>42</v>
      </c>
      <c r="E38" s="64">
        <f>60+20+50</f>
        <v>130</v>
      </c>
      <c r="F38" s="64">
        <f t="shared" si="8"/>
        <v>2995.2000000000003</v>
      </c>
    </row>
    <row r="39" spans="1:6" ht="13.5" customHeight="1" x14ac:dyDescent="0.25">
      <c r="A39" s="54"/>
      <c r="B39" s="187"/>
      <c r="C39" s="89"/>
      <c r="D39" s="63"/>
      <c r="E39" s="64"/>
      <c r="F39" s="64"/>
    </row>
    <row r="40" spans="1:6" x14ac:dyDescent="0.25">
      <c r="A40" s="54"/>
      <c r="B40" s="143" t="s">
        <v>260</v>
      </c>
      <c r="C40" s="89">
        <f>2.5*2+6.5*2</f>
        <v>18</v>
      </c>
      <c r="D40" s="63" t="s">
        <v>41</v>
      </c>
      <c r="E40" s="64">
        <f>7.5+60</f>
        <v>67.5</v>
      </c>
      <c r="F40" s="64">
        <f t="shared" ref="F40" si="9">IF(C40&gt;0,C40*E40,"")</f>
        <v>1215</v>
      </c>
    </row>
    <row r="41" spans="1:6" x14ac:dyDescent="0.25">
      <c r="A41" s="54"/>
      <c r="B41" s="143"/>
      <c r="C41" s="89"/>
      <c r="D41" s="63"/>
      <c r="E41" s="64"/>
      <c r="F41" s="64"/>
    </row>
    <row r="42" spans="1:6" ht="13.5" customHeight="1" x14ac:dyDescent="0.25">
      <c r="A42" s="54"/>
      <c r="B42" s="143" t="s">
        <v>261</v>
      </c>
      <c r="C42" s="89">
        <f>2*2.5</f>
        <v>5</v>
      </c>
      <c r="D42" s="63" t="s">
        <v>41</v>
      </c>
      <c r="E42" s="64">
        <f>7.5+55</f>
        <v>62.5</v>
      </c>
      <c r="F42" s="64">
        <f t="shared" ref="F42:F43" si="10">IF(C42&gt;0,C42*E42,"")</f>
        <v>312.5</v>
      </c>
    </row>
    <row r="43" spans="1:6" ht="13.5" customHeight="1" x14ac:dyDescent="0.25">
      <c r="A43" s="54"/>
      <c r="B43" s="220" t="s">
        <v>86</v>
      </c>
      <c r="C43" s="89">
        <v>2</v>
      </c>
      <c r="D43" s="63" t="s">
        <v>50</v>
      </c>
      <c r="E43" s="64">
        <v>100</v>
      </c>
      <c r="F43" s="64">
        <f t="shared" si="10"/>
        <v>200</v>
      </c>
    </row>
    <row r="44" spans="1:6" ht="13.5" customHeight="1" x14ac:dyDescent="0.25">
      <c r="A44" s="54"/>
      <c r="B44" s="187"/>
      <c r="C44" s="89"/>
      <c r="D44" s="63"/>
      <c r="E44" s="64"/>
      <c r="F44" s="64"/>
    </row>
    <row r="45" spans="1:6" ht="13.5" customHeight="1" x14ac:dyDescent="0.25">
      <c r="A45" s="54"/>
      <c r="B45" s="188" t="s">
        <v>258</v>
      </c>
      <c r="C45" s="89">
        <f>2*2</f>
        <v>4</v>
      </c>
      <c r="D45" s="63" t="s">
        <v>41</v>
      </c>
      <c r="E45" s="64">
        <v>75</v>
      </c>
      <c r="F45" s="64">
        <f t="shared" si="8"/>
        <v>300</v>
      </c>
    </row>
    <row r="46" spans="1:6" ht="13.5" customHeight="1" x14ac:dyDescent="0.25">
      <c r="A46" s="54"/>
      <c r="B46" s="187"/>
      <c r="C46" s="89"/>
      <c r="D46" s="63"/>
      <c r="E46" s="64"/>
      <c r="F46" s="64"/>
    </row>
    <row r="47" spans="1:6" ht="13.5" customHeight="1" x14ac:dyDescent="0.25">
      <c r="A47" s="54"/>
      <c r="B47" s="221" t="s">
        <v>265</v>
      </c>
      <c r="C47" s="89"/>
      <c r="D47" s="63"/>
      <c r="E47" s="64"/>
      <c r="F47" s="64"/>
    </row>
    <row r="48" spans="1:6" ht="13.5" customHeight="1" x14ac:dyDescent="0.25">
      <c r="A48" s="54"/>
      <c r="B48" s="221"/>
      <c r="C48" s="89"/>
      <c r="D48" s="63"/>
      <c r="E48" s="64"/>
      <c r="F48" s="64"/>
    </row>
    <row r="49" spans="1:6" ht="13.5" customHeight="1" x14ac:dyDescent="0.25">
      <c r="A49" s="54"/>
      <c r="B49" s="188" t="s">
        <v>267</v>
      </c>
      <c r="C49" s="89">
        <f>(3.238+2.889)*3.3+(2.372*2)*2+(2.25*2)*2.5</f>
        <v>40.957099999999997</v>
      </c>
      <c r="D49" s="63" t="s">
        <v>42</v>
      </c>
      <c r="E49" s="64">
        <v>105</v>
      </c>
      <c r="F49" s="64">
        <f t="shared" ref="F49:F51" si="11">IF(C49&gt;0,C49*E49,"")</f>
        <v>4300.4955</v>
      </c>
    </row>
    <row r="50" spans="1:6" ht="13.5" customHeight="1" x14ac:dyDescent="0.25">
      <c r="A50" s="54"/>
      <c r="B50" s="187" t="s">
        <v>268</v>
      </c>
      <c r="C50" s="89">
        <v>2</v>
      </c>
      <c r="D50" s="63" t="s">
        <v>50</v>
      </c>
      <c r="E50" s="64">
        <v>500</v>
      </c>
      <c r="F50" s="64">
        <f t="shared" si="11"/>
        <v>1000</v>
      </c>
    </row>
    <row r="51" spans="1:6" ht="13.5" customHeight="1" x14ac:dyDescent="0.25">
      <c r="A51" s="54"/>
      <c r="B51" s="187" t="s">
        <v>269</v>
      </c>
      <c r="C51" s="89">
        <v>1</v>
      </c>
      <c r="D51" s="63" t="s">
        <v>50</v>
      </c>
      <c r="E51" s="64">
        <v>1000</v>
      </c>
      <c r="F51" s="64">
        <f t="shared" si="11"/>
        <v>1000</v>
      </c>
    </row>
    <row r="52" spans="1:6" ht="13.5" customHeight="1" x14ac:dyDescent="0.25">
      <c r="A52" s="54"/>
      <c r="B52" s="187"/>
      <c r="C52" s="89"/>
      <c r="D52" s="63"/>
      <c r="E52" s="64"/>
      <c r="F52" s="64"/>
    </row>
    <row r="53" spans="1:6" ht="13.5" customHeight="1" x14ac:dyDescent="0.25">
      <c r="A53" s="54"/>
      <c r="B53" s="78" t="s">
        <v>254</v>
      </c>
      <c r="C53" s="89"/>
      <c r="D53" s="63" t="s">
        <v>42</v>
      </c>
      <c r="E53" s="64">
        <f>25+10+110</f>
        <v>145</v>
      </c>
      <c r="F53" s="64" t="s">
        <v>266</v>
      </c>
    </row>
    <row r="54" spans="1:6" ht="13.5" customHeight="1" x14ac:dyDescent="0.25">
      <c r="A54" s="54"/>
      <c r="B54" s="187"/>
      <c r="C54" s="89"/>
      <c r="D54" s="63"/>
      <c r="E54" s="64"/>
      <c r="F54" s="64"/>
    </row>
    <row r="55" spans="1:6" x14ac:dyDescent="0.25">
      <c r="A55" s="54"/>
      <c r="B55" s="143" t="s">
        <v>260</v>
      </c>
      <c r="C55" s="89"/>
      <c r="D55" s="63" t="s">
        <v>41</v>
      </c>
      <c r="E55" s="64">
        <f>7.5+60</f>
        <v>67.5</v>
      </c>
      <c r="F55" s="64" t="s">
        <v>266</v>
      </c>
    </row>
    <row r="56" spans="1:6" ht="13.5" customHeight="1" x14ac:dyDescent="0.25">
      <c r="A56" s="54"/>
      <c r="B56" s="187"/>
      <c r="C56" s="89"/>
      <c r="D56" s="63"/>
      <c r="E56" s="64"/>
      <c r="F56" s="64"/>
    </row>
    <row r="57" spans="1:6" ht="13.5" customHeight="1" x14ac:dyDescent="0.25">
      <c r="A57" s="54"/>
      <c r="B57" s="188" t="s">
        <v>258</v>
      </c>
      <c r="C57" s="89"/>
      <c r="D57" s="63" t="s">
        <v>41</v>
      </c>
      <c r="E57" s="64">
        <v>75</v>
      </c>
      <c r="F57" s="64" t="s">
        <v>266</v>
      </c>
    </row>
    <row r="58" spans="1:6" ht="13.5" customHeight="1" x14ac:dyDescent="0.25">
      <c r="A58" s="54"/>
      <c r="B58" s="187"/>
      <c r="C58" s="89"/>
      <c r="D58" s="63"/>
      <c r="E58" s="64"/>
      <c r="F58" s="64"/>
    </row>
    <row r="59" spans="1:6" ht="13.5" customHeight="1" x14ac:dyDescent="0.25">
      <c r="A59" s="54"/>
      <c r="B59" s="133" t="s">
        <v>271</v>
      </c>
      <c r="C59" s="89"/>
      <c r="D59" s="63"/>
      <c r="E59" s="64"/>
      <c r="F59" s="64"/>
    </row>
    <row r="60" spans="1:6" ht="13.5" customHeight="1" x14ac:dyDescent="0.25">
      <c r="A60" s="54"/>
      <c r="B60" s="187"/>
      <c r="C60" s="89"/>
      <c r="D60" s="63"/>
      <c r="E60" s="64"/>
      <c r="F60" s="64"/>
    </row>
    <row r="61" spans="1:6" ht="15" customHeight="1" x14ac:dyDescent="0.25">
      <c r="A61" s="54"/>
      <c r="B61" s="188" t="s">
        <v>116</v>
      </c>
      <c r="C61" s="89">
        <v>18.14</v>
      </c>
      <c r="D61" s="63" t="s">
        <v>42</v>
      </c>
      <c r="E61" s="64">
        <f>75+20+30+40+30+65+25</f>
        <v>285</v>
      </c>
      <c r="F61" s="64">
        <f t="shared" ref="F61:F63" si="12">IF(C61&gt;0,C61*E61,"")</f>
        <v>5169.9000000000005</v>
      </c>
    </row>
    <row r="62" spans="1:6" ht="13.5" customHeight="1" x14ac:dyDescent="0.25">
      <c r="A62" s="54"/>
      <c r="B62" s="187" t="s">
        <v>115</v>
      </c>
      <c r="C62" s="89">
        <v>1</v>
      </c>
      <c r="D62" s="63" t="s">
        <v>69</v>
      </c>
      <c r="E62" s="64">
        <v>750</v>
      </c>
      <c r="F62" s="64">
        <f t="shared" si="12"/>
        <v>750</v>
      </c>
    </row>
    <row r="63" spans="1:6" ht="13.5" customHeight="1" x14ac:dyDescent="0.25">
      <c r="A63" s="54"/>
      <c r="B63" s="187" t="s">
        <v>270</v>
      </c>
      <c r="C63" s="89">
        <f>4.5*2+4*2</f>
        <v>17</v>
      </c>
      <c r="D63" s="63" t="s">
        <v>41</v>
      </c>
      <c r="E63" s="64">
        <v>50</v>
      </c>
      <c r="F63" s="64">
        <f t="shared" si="12"/>
        <v>850</v>
      </c>
    </row>
    <row r="64" spans="1:6" ht="13.5" customHeight="1" x14ac:dyDescent="0.25">
      <c r="A64" s="54"/>
      <c r="B64" s="187"/>
      <c r="C64" s="89"/>
      <c r="D64" s="63"/>
      <c r="E64" s="64"/>
      <c r="F64" s="64"/>
    </row>
    <row r="65" spans="1:1024" ht="13.5" customHeight="1" x14ac:dyDescent="0.25">
      <c r="A65" s="54"/>
      <c r="B65" s="133" t="s">
        <v>272</v>
      </c>
      <c r="C65" s="89"/>
      <c r="D65" s="63"/>
      <c r="E65" s="64"/>
      <c r="F65" s="64"/>
    </row>
    <row r="66" spans="1:1024" ht="13.5" customHeight="1" x14ac:dyDescent="0.25">
      <c r="A66" s="54"/>
      <c r="B66" s="187"/>
      <c r="C66" s="89"/>
      <c r="D66" s="63"/>
      <c r="E66" s="64"/>
      <c r="F66" s="64"/>
    </row>
    <row r="67" spans="1:1024" s="186" customFormat="1" x14ac:dyDescent="0.25">
      <c r="A67" s="54"/>
      <c r="B67" s="188" t="s">
        <v>273</v>
      </c>
      <c r="C67" s="89">
        <v>6.3</v>
      </c>
      <c r="D67" s="63" t="s">
        <v>42</v>
      </c>
      <c r="E67" s="64">
        <f>75+20+35+40+350</f>
        <v>520</v>
      </c>
      <c r="F67" s="64">
        <f t="shared" ref="F67" si="13">IF(C67&gt;0,C67*E67,"")</f>
        <v>3276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5"/>
      <c r="CH67" s="185"/>
      <c r="CI67" s="185"/>
      <c r="CJ67" s="185"/>
      <c r="CK67" s="185"/>
      <c r="CL67" s="185"/>
      <c r="CM67" s="185"/>
      <c r="CN67" s="185"/>
      <c r="CO67" s="185"/>
      <c r="CP67" s="185"/>
      <c r="CQ67" s="185"/>
      <c r="CR67" s="185"/>
      <c r="CS67" s="185"/>
      <c r="CT67" s="185"/>
      <c r="CU67" s="185"/>
      <c r="CV67" s="185"/>
      <c r="CW67" s="185"/>
      <c r="CX67" s="185"/>
      <c r="CY67" s="185"/>
      <c r="CZ67" s="185"/>
      <c r="DA67" s="185"/>
      <c r="DB67" s="185"/>
      <c r="DC67" s="185"/>
      <c r="DD67" s="185"/>
      <c r="DE67" s="185"/>
      <c r="DF67" s="185"/>
      <c r="DG67" s="185"/>
      <c r="DH67" s="185"/>
      <c r="DI67" s="185"/>
      <c r="DJ67" s="185"/>
      <c r="DK67" s="185"/>
      <c r="DL67" s="185"/>
      <c r="DM67" s="185"/>
      <c r="DN67" s="185"/>
      <c r="DO67" s="185"/>
      <c r="DP67" s="185"/>
      <c r="DQ67" s="185"/>
      <c r="DR67" s="185"/>
      <c r="DS67" s="185"/>
      <c r="DT67" s="185"/>
      <c r="DU67" s="185"/>
      <c r="DV67" s="185"/>
      <c r="DW67" s="185"/>
      <c r="DX67" s="185"/>
      <c r="DY67" s="185"/>
      <c r="DZ67" s="185"/>
      <c r="EA67" s="185"/>
      <c r="EB67" s="185"/>
      <c r="EC67" s="185"/>
      <c r="ED67" s="185"/>
      <c r="EE67" s="185"/>
      <c r="EF67" s="185"/>
      <c r="EG67" s="185"/>
      <c r="EH67" s="185"/>
      <c r="EI67" s="185"/>
      <c r="EJ67" s="185"/>
      <c r="EK67" s="185"/>
      <c r="EL67" s="185"/>
      <c r="EM67" s="185"/>
      <c r="EN67" s="185"/>
      <c r="EO67" s="185"/>
      <c r="EP67" s="185"/>
      <c r="EQ67" s="185"/>
      <c r="ER67" s="185"/>
      <c r="ES67" s="185"/>
      <c r="ET67" s="185"/>
      <c r="EU67" s="185"/>
      <c r="EV67" s="185"/>
      <c r="EW67" s="185"/>
      <c r="EX67" s="185"/>
      <c r="EY67" s="185"/>
      <c r="EZ67" s="185"/>
      <c r="FA67" s="185"/>
      <c r="FB67" s="185"/>
      <c r="FC67" s="185"/>
      <c r="FD67" s="185"/>
      <c r="FE67" s="185"/>
      <c r="FF67" s="185"/>
      <c r="FG67" s="185"/>
      <c r="FH67" s="185"/>
      <c r="FI67" s="185"/>
      <c r="FJ67" s="185"/>
      <c r="FK67" s="185"/>
      <c r="FL67" s="185"/>
      <c r="FM67" s="185"/>
      <c r="FN67" s="185"/>
      <c r="FO67" s="185"/>
      <c r="FP67" s="185"/>
      <c r="FQ67" s="185"/>
      <c r="FR67" s="185"/>
      <c r="FS67" s="185"/>
      <c r="FT67" s="185"/>
      <c r="FU67" s="185"/>
      <c r="FV67" s="185"/>
      <c r="FW67" s="185"/>
      <c r="FX67" s="185"/>
      <c r="FY67" s="185"/>
      <c r="FZ67" s="185"/>
      <c r="GA67" s="185"/>
      <c r="GB67" s="185"/>
      <c r="GC67" s="185"/>
      <c r="GD67" s="185"/>
      <c r="GE67" s="185"/>
      <c r="GF67" s="185"/>
      <c r="GG67" s="185"/>
      <c r="GH67" s="185"/>
      <c r="GI67" s="185"/>
      <c r="GJ67" s="185"/>
      <c r="GK67" s="185"/>
      <c r="GL67" s="185"/>
      <c r="GM67" s="185"/>
      <c r="GN67" s="185"/>
      <c r="GO67" s="185"/>
      <c r="GP67" s="185"/>
      <c r="GQ67" s="185"/>
      <c r="GR67" s="185"/>
      <c r="GS67" s="185"/>
      <c r="GT67" s="185"/>
      <c r="GU67" s="185"/>
      <c r="GV67" s="185"/>
      <c r="GW67" s="185"/>
      <c r="GX67" s="185"/>
      <c r="GY67" s="185"/>
      <c r="GZ67" s="185"/>
      <c r="HA67" s="185"/>
      <c r="HB67" s="185"/>
      <c r="HC67" s="185"/>
      <c r="HD67" s="185"/>
      <c r="HE67" s="185"/>
      <c r="HF67" s="185"/>
      <c r="HG67" s="185"/>
      <c r="HH67" s="185"/>
      <c r="HI67" s="185"/>
      <c r="HJ67" s="185"/>
      <c r="HK67" s="185"/>
      <c r="HL67" s="185"/>
      <c r="HM67" s="185"/>
      <c r="HN67" s="185"/>
      <c r="HO67" s="185"/>
      <c r="HP67" s="185"/>
      <c r="HQ67" s="185"/>
      <c r="HR67" s="185"/>
      <c r="HS67" s="185"/>
      <c r="HT67" s="185"/>
      <c r="HU67" s="185"/>
      <c r="HV67" s="185"/>
      <c r="HW67" s="185"/>
      <c r="HX67" s="185"/>
      <c r="HY67" s="185"/>
      <c r="HZ67" s="185"/>
      <c r="IA67" s="185"/>
      <c r="IB67" s="185"/>
      <c r="IC67" s="185"/>
      <c r="ID67" s="185"/>
      <c r="IE67" s="185"/>
      <c r="IF67" s="185"/>
      <c r="IG67" s="185"/>
      <c r="IH67" s="185"/>
      <c r="II67" s="185"/>
      <c r="IJ67" s="185"/>
      <c r="IK67" s="185"/>
      <c r="IL67" s="185"/>
      <c r="IM67" s="185"/>
      <c r="IN67" s="185"/>
      <c r="IO67" s="185"/>
      <c r="IP67" s="185"/>
      <c r="IQ67" s="185"/>
      <c r="IR67" s="185"/>
      <c r="IS67" s="185"/>
      <c r="IT67" s="185"/>
      <c r="IU67" s="185"/>
      <c r="IV67" s="185"/>
      <c r="IW67" s="185"/>
      <c r="IX67" s="185"/>
      <c r="IY67" s="185"/>
      <c r="IZ67" s="185"/>
      <c r="JA67" s="185"/>
      <c r="JB67" s="185"/>
      <c r="JC67" s="185"/>
      <c r="JD67" s="185"/>
      <c r="JE67" s="185"/>
      <c r="JF67" s="185"/>
      <c r="JG67" s="185"/>
      <c r="JH67" s="185"/>
      <c r="JI67" s="185"/>
      <c r="JJ67" s="185"/>
      <c r="JK67" s="185"/>
      <c r="JL67" s="185"/>
      <c r="JM67" s="185"/>
      <c r="JN67" s="185"/>
      <c r="JO67" s="185"/>
      <c r="JP67" s="185"/>
      <c r="JQ67" s="185"/>
      <c r="JR67" s="185"/>
      <c r="JS67" s="185"/>
      <c r="JT67" s="185"/>
      <c r="JU67" s="185"/>
      <c r="JV67" s="185"/>
      <c r="JW67" s="185"/>
      <c r="JX67" s="185"/>
      <c r="JY67" s="185"/>
      <c r="JZ67" s="185"/>
      <c r="KA67" s="185"/>
      <c r="KB67" s="185"/>
      <c r="KC67" s="185"/>
      <c r="KD67" s="185"/>
      <c r="KE67" s="185"/>
      <c r="KF67" s="185"/>
      <c r="KG67" s="185"/>
      <c r="KH67" s="185"/>
      <c r="KI67" s="185"/>
      <c r="KJ67" s="185"/>
      <c r="KK67" s="185"/>
      <c r="KL67" s="185"/>
      <c r="KM67" s="185"/>
      <c r="KN67" s="185"/>
      <c r="KO67" s="185"/>
      <c r="KP67" s="185"/>
      <c r="KQ67" s="185"/>
      <c r="KR67" s="185"/>
      <c r="KS67" s="185"/>
      <c r="KT67" s="185"/>
      <c r="KU67" s="185"/>
      <c r="KV67" s="185"/>
      <c r="KW67" s="185"/>
      <c r="KX67" s="185"/>
      <c r="KY67" s="185"/>
      <c r="KZ67" s="185"/>
      <c r="LA67" s="185"/>
      <c r="LB67" s="185"/>
      <c r="LC67" s="185"/>
      <c r="LD67" s="185"/>
      <c r="LE67" s="185"/>
      <c r="LF67" s="185"/>
      <c r="LG67" s="185"/>
      <c r="LH67" s="185"/>
      <c r="LI67" s="185"/>
      <c r="LJ67" s="185"/>
      <c r="LK67" s="185"/>
      <c r="LL67" s="185"/>
      <c r="LM67" s="185"/>
      <c r="LN67" s="185"/>
      <c r="LO67" s="185"/>
      <c r="LP67" s="185"/>
      <c r="LQ67" s="185"/>
      <c r="LR67" s="185"/>
      <c r="LS67" s="185"/>
      <c r="LT67" s="185"/>
      <c r="LU67" s="185"/>
      <c r="LV67" s="185"/>
      <c r="LW67" s="185"/>
      <c r="LX67" s="185"/>
      <c r="LY67" s="185"/>
      <c r="LZ67" s="185"/>
      <c r="MA67" s="185"/>
      <c r="MB67" s="185"/>
      <c r="MC67" s="185"/>
      <c r="MD67" s="185"/>
      <c r="ME67" s="185"/>
      <c r="MF67" s="185"/>
      <c r="MG67" s="185"/>
      <c r="MH67" s="185"/>
      <c r="MI67" s="185"/>
      <c r="MJ67" s="185"/>
      <c r="MK67" s="185"/>
      <c r="ML67" s="185"/>
      <c r="MM67" s="185"/>
      <c r="MN67" s="185"/>
      <c r="MO67" s="185"/>
      <c r="MP67" s="185"/>
      <c r="MQ67" s="185"/>
      <c r="MR67" s="185"/>
      <c r="MS67" s="185"/>
      <c r="MT67" s="185"/>
      <c r="MU67" s="185"/>
      <c r="MV67" s="185"/>
      <c r="MW67" s="185"/>
      <c r="MX67" s="185"/>
      <c r="MY67" s="185"/>
      <c r="MZ67" s="185"/>
      <c r="NA67" s="185"/>
      <c r="NB67" s="185"/>
      <c r="NC67" s="185"/>
      <c r="ND67" s="185"/>
      <c r="NE67" s="185"/>
      <c r="NF67" s="185"/>
      <c r="NG67" s="185"/>
      <c r="NH67" s="185"/>
      <c r="NI67" s="185"/>
      <c r="NJ67" s="185"/>
      <c r="NK67" s="185"/>
      <c r="NL67" s="185"/>
      <c r="NM67" s="185"/>
      <c r="NN67" s="185"/>
      <c r="NO67" s="185"/>
      <c r="NP67" s="185"/>
      <c r="NQ67" s="185"/>
      <c r="NR67" s="185"/>
      <c r="NS67" s="185"/>
      <c r="NT67" s="185"/>
      <c r="NU67" s="185"/>
      <c r="NV67" s="185"/>
      <c r="NW67" s="185"/>
      <c r="NX67" s="185"/>
      <c r="NY67" s="185"/>
      <c r="NZ67" s="185"/>
      <c r="OA67" s="185"/>
      <c r="OB67" s="185"/>
      <c r="OC67" s="185"/>
      <c r="OD67" s="185"/>
      <c r="OE67" s="185"/>
      <c r="OF67" s="185"/>
      <c r="OG67" s="185"/>
      <c r="OH67" s="185"/>
      <c r="OI67" s="185"/>
      <c r="OJ67" s="185"/>
      <c r="OK67" s="185"/>
      <c r="OL67" s="185"/>
      <c r="OM67" s="185"/>
      <c r="ON67" s="185"/>
      <c r="OO67" s="185"/>
      <c r="OP67" s="185"/>
      <c r="OQ67" s="185"/>
      <c r="OR67" s="185"/>
      <c r="OS67" s="185"/>
      <c r="OT67" s="185"/>
      <c r="OU67" s="185"/>
      <c r="OV67" s="185"/>
      <c r="OW67" s="185"/>
      <c r="OX67" s="185"/>
      <c r="OY67" s="185"/>
      <c r="OZ67" s="185"/>
      <c r="PA67" s="185"/>
      <c r="PB67" s="185"/>
      <c r="PC67" s="185"/>
      <c r="PD67" s="185"/>
      <c r="PE67" s="185"/>
      <c r="PF67" s="185"/>
      <c r="PG67" s="185"/>
      <c r="PH67" s="185"/>
      <c r="PI67" s="185"/>
      <c r="PJ67" s="185"/>
      <c r="PK67" s="185"/>
      <c r="PL67" s="185"/>
      <c r="PM67" s="185"/>
      <c r="PN67" s="185"/>
      <c r="PO67" s="185"/>
      <c r="PP67" s="185"/>
      <c r="PQ67" s="185"/>
      <c r="PR67" s="185"/>
      <c r="PS67" s="185"/>
      <c r="PT67" s="185"/>
      <c r="PU67" s="185"/>
      <c r="PV67" s="185"/>
      <c r="PW67" s="185"/>
      <c r="PX67" s="185"/>
      <c r="PY67" s="185"/>
      <c r="PZ67" s="185"/>
      <c r="QA67" s="185"/>
      <c r="QB67" s="185"/>
      <c r="QC67" s="185"/>
      <c r="QD67" s="185"/>
      <c r="QE67" s="185"/>
      <c r="QF67" s="185"/>
      <c r="QG67" s="185"/>
      <c r="QH67" s="185"/>
      <c r="QI67" s="185"/>
      <c r="QJ67" s="185"/>
      <c r="QK67" s="185"/>
      <c r="QL67" s="185"/>
      <c r="QM67" s="185"/>
      <c r="QN67" s="185"/>
      <c r="QO67" s="185"/>
      <c r="QP67" s="185"/>
      <c r="QQ67" s="185"/>
      <c r="QR67" s="185"/>
      <c r="QS67" s="185"/>
      <c r="QT67" s="185"/>
      <c r="QU67" s="185"/>
      <c r="QV67" s="185"/>
      <c r="QW67" s="185"/>
      <c r="QX67" s="185"/>
      <c r="QY67" s="185"/>
      <c r="QZ67" s="185"/>
      <c r="RA67" s="185"/>
      <c r="RB67" s="185"/>
      <c r="RC67" s="185"/>
      <c r="RD67" s="185"/>
      <c r="RE67" s="185"/>
      <c r="RF67" s="185"/>
      <c r="RG67" s="185"/>
      <c r="RH67" s="185"/>
      <c r="RI67" s="185"/>
      <c r="RJ67" s="185"/>
      <c r="RK67" s="185"/>
      <c r="RL67" s="185"/>
      <c r="RM67" s="185"/>
      <c r="RN67" s="185"/>
      <c r="RO67" s="185"/>
      <c r="RP67" s="185"/>
      <c r="RQ67" s="185"/>
      <c r="RR67" s="185"/>
      <c r="RS67" s="185"/>
      <c r="RT67" s="185"/>
      <c r="RU67" s="185"/>
      <c r="RV67" s="185"/>
      <c r="RW67" s="185"/>
      <c r="RX67" s="185"/>
      <c r="RY67" s="185"/>
      <c r="RZ67" s="185"/>
      <c r="SA67" s="185"/>
      <c r="SB67" s="185"/>
      <c r="SC67" s="185"/>
      <c r="SD67" s="185"/>
      <c r="SE67" s="185"/>
      <c r="SF67" s="185"/>
      <c r="SG67" s="185"/>
      <c r="SH67" s="185"/>
      <c r="SI67" s="185"/>
      <c r="SJ67" s="185"/>
      <c r="SK67" s="185"/>
      <c r="SL67" s="185"/>
      <c r="SM67" s="185"/>
      <c r="SN67" s="185"/>
      <c r="SO67" s="185"/>
      <c r="SP67" s="185"/>
      <c r="SQ67" s="185"/>
      <c r="SR67" s="185"/>
      <c r="SS67" s="185"/>
      <c r="ST67" s="185"/>
      <c r="SU67" s="185"/>
      <c r="SV67" s="185"/>
      <c r="SW67" s="185"/>
      <c r="SX67" s="185"/>
      <c r="SY67" s="185"/>
      <c r="SZ67" s="185"/>
      <c r="TA67" s="185"/>
      <c r="TB67" s="185"/>
      <c r="TC67" s="185"/>
      <c r="TD67" s="185"/>
      <c r="TE67" s="185"/>
      <c r="TF67" s="185"/>
      <c r="TG67" s="185"/>
      <c r="TH67" s="185"/>
      <c r="TI67" s="185"/>
      <c r="TJ67" s="185"/>
      <c r="TK67" s="185"/>
      <c r="TL67" s="185"/>
      <c r="TM67" s="185"/>
      <c r="TN67" s="185"/>
      <c r="TO67" s="185"/>
      <c r="TP67" s="185"/>
      <c r="TQ67" s="185"/>
      <c r="TR67" s="185"/>
      <c r="TS67" s="185"/>
      <c r="TT67" s="185"/>
      <c r="TU67" s="185"/>
      <c r="TV67" s="185"/>
      <c r="TW67" s="185"/>
      <c r="TX67" s="185"/>
      <c r="TY67" s="185"/>
      <c r="TZ67" s="185"/>
      <c r="UA67" s="185"/>
      <c r="UB67" s="185"/>
      <c r="UC67" s="185"/>
      <c r="UD67" s="185"/>
      <c r="UE67" s="185"/>
      <c r="UF67" s="185"/>
      <c r="UG67" s="185"/>
      <c r="UH67" s="185"/>
      <c r="UI67" s="185"/>
      <c r="UJ67" s="185"/>
      <c r="UK67" s="185"/>
      <c r="UL67" s="185"/>
      <c r="UM67" s="185"/>
      <c r="UN67" s="185"/>
      <c r="UO67" s="185"/>
      <c r="UP67" s="185"/>
      <c r="UQ67" s="185"/>
      <c r="UR67" s="185"/>
      <c r="US67" s="185"/>
      <c r="UT67" s="185"/>
      <c r="UU67" s="185"/>
      <c r="UV67" s="185"/>
      <c r="UW67" s="185"/>
      <c r="UX67" s="185"/>
      <c r="UY67" s="185"/>
      <c r="UZ67" s="185"/>
      <c r="VA67" s="185"/>
      <c r="VB67" s="185"/>
      <c r="VC67" s="185"/>
      <c r="VD67" s="185"/>
      <c r="VE67" s="185"/>
      <c r="VF67" s="185"/>
      <c r="VG67" s="185"/>
      <c r="VH67" s="185"/>
      <c r="VI67" s="185"/>
      <c r="VJ67" s="185"/>
      <c r="VK67" s="185"/>
      <c r="VL67" s="185"/>
      <c r="VM67" s="185"/>
      <c r="VN67" s="185"/>
      <c r="VO67" s="185"/>
      <c r="VP67" s="185"/>
      <c r="VQ67" s="185"/>
      <c r="VR67" s="185"/>
      <c r="VS67" s="185"/>
      <c r="VT67" s="185"/>
      <c r="VU67" s="185"/>
      <c r="VV67" s="185"/>
      <c r="VW67" s="185"/>
      <c r="VX67" s="185"/>
      <c r="VY67" s="185"/>
      <c r="VZ67" s="185"/>
      <c r="WA67" s="185"/>
      <c r="WB67" s="185"/>
      <c r="WC67" s="185"/>
      <c r="WD67" s="185"/>
      <c r="WE67" s="185"/>
      <c r="WF67" s="185"/>
      <c r="WG67" s="185"/>
      <c r="WH67" s="185"/>
      <c r="WI67" s="185"/>
      <c r="WJ67" s="185"/>
      <c r="WK67" s="185"/>
      <c r="WL67" s="185"/>
      <c r="WM67" s="185"/>
      <c r="WN67" s="185"/>
      <c r="WO67" s="185"/>
      <c r="WP67" s="185"/>
      <c r="WQ67" s="185"/>
      <c r="WR67" s="185"/>
      <c r="WS67" s="185"/>
      <c r="WT67" s="185"/>
      <c r="WU67" s="185"/>
      <c r="WV67" s="185"/>
      <c r="WW67" s="185"/>
      <c r="WX67" s="185"/>
      <c r="WY67" s="185"/>
      <c r="WZ67" s="185"/>
      <c r="XA67" s="185"/>
      <c r="XB67" s="185"/>
      <c r="XC67" s="185"/>
      <c r="XD67" s="185"/>
      <c r="XE67" s="185"/>
      <c r="XF67" s="185"/>
      <c r="XG67" s="185"/>
      <c r="XH67" s="185"/>
      <c r="XI67" s="185"/>
      <c r="XJ67" s="185"/>
      <c r="XK67" s="185"/>
      <c r="XL67" s="185"/>
      <c r="XM67" s="185"/>
      <c r="XN67" s="185"/>
      <c r="XO67" s="185"/>
      <c r="XP67" s="185"/>
      <c r="XQ67" s="185"/>
      <c r="XR67" s="185"/>
      <c r="XS67" s="185"/>
      <c r="XT67" s="185"/>
      <c r="XU67" s="185"/>
      <c r="XV67" s="185"/>
      <c r="XW67" s="185"/>
      <c r="XX67" s="185"/>
      <c r="XY67" s="185"/>
      <c r="XZ67" s="185"/>
      <c r="YA67" s="185"/>
      <c r="YB67" s="185"/>
      <c r="YC67" s="185"/>
      <c r="YD67" s="185"/>
      <c r="YE67" s="185"/>
      <c r="YF67" s="185"/>
      <c r="YG67" s="185"/>
      <c r="YH67" s="185"/>
      <c r="YI67" s="185"/>
      <c r="YJ67" s="185"/>
      <c r="YK67" s="185"/>
      <c r="YL67" s="185"/>
      <c r="YM67" s="185"/>
      <c r="YN67" s="185"/>
      <c r="YO67" s="185"/>
      <c r="YP67" s="185"/>
      <c r="YQ67" s="185"/>
      <c r="YR67" s="185"/>
      <c r="YS67" s="185"/>
      <c r="YT67" s="185"/>
      <c r="YU67" s="185"/>
      <c r="YV67" s="185"/>
      <c r="YW67" s="185"/>
      <c r="YX67" s="185"/>
      <c r="YY67" s="185"/>
      <c r="YZ67" s="185"/>
      <c r="ZA67" s="185"/>
      <c r="ZB67" s="185"/>
      <c r="ZC67" s="185"/>
      <c r="ZD67" s="185"/>
      <c r="ZE67" s="185"/>
      <c r="ZF67" s="185"/>
      <c r="ZG67" s="185"/>
      <c r="ZH67" s="185"/>
      <c r="ZI67" s="185"/>
      <c r="ZJ67" s="185"/>
      <c r="ZK67" s="185"/>
      <c r="ZL67" s="185"/>
      <c r="ZM67" s="185"/>
      <c r="ZN67" s="185"/>
      <c r="ZO67" s="185"/>
      <c r="ZP67" s="185"/>
      <c r="ZQ67" s="185"/>
      <c r="ZR67" s="185"/>
      <c r="ZS67" s="185"/>
      <c r="ZT67" s="185"/>
      <c r="ZU67" s="185"/>
      <c r="ZV67" s="185"/>
      <c r="ZW67" s="185"/>
      <c r="ZX67" s="185"/>
      <c r="ZY67" s="185"/>
      <c r="ZZ67" s="185"/>
      <c r="AAA67" s="185"/>
      <c r="AAB67" s="185"/>
      <c r="AAC67" s="185"/>
      <c r="AAD67" s="185"/>
      <c r="AAE67" s="185"/>
      <c r="AAF67" s="185"/>
      <c r="AAG67" s="185"/>
      <c r="AAH67" s="185"/>
      <c r="AAI67" s="185"/>
      <c r="AAJ67" s="185"/>
      <c r="AAK67" s="185"/>
      <c r="AAL67" s="185"/>
      <c r="AAM67" s="185"/>
      <c r="AAN67" s="185"/>
      <c r="AAO67" s="185"/>
      <c r="AAP67" s="185"/>
      <c r="AAQ67" s="185"/>
      <c r="AAR67" s="185"/>
      <c r="AAS67" s="185"/>
      <c r="AAT67" s="185"/>
      <c r="AAU67" s="185"/>
      <c r="AAV67" s="185"/>
      <c r="AAW67" s="185"/>
      <c r="AAX67" s="185"/>
      <c r="AAY67" s="185"/>
      <c r="AAZ67" s="185"/>
      <c r="ABA67" s="185"/>
      <c r="ABB67" s="185"/>
      <c r="ABC67" s="185"/>
      <c r="ABD67" s="185"/>
      <c r="ABE67" s="185"/>
      <c r="ABF67" s="185"/>
      <c r="ABG67" s="185"/>
      <c r="ABH67" s="185"/>
      <c r="ABI67" s="185"/>
      <c r="ABJ67" s="185"/>
      <c r="ABK67" s="185"/>
      <c r="ABL67" s="185"/>
      <c r="ABM67" s="185"/>
      <c r="ABN67" s="185"/>
      <c r="ABO67" s="185"/>
      <c r="ABP67" s="185"/>
      <c r="ABQ67" s="185"/>
      <c r="ABR67" s="185"/>
      <c r="ABS67" s="185"/>
      <c r="ABT67" s="185"/>
      <c r="ABU67" s="185"/>
      <c r="ABV67" s="185"/>
      <c r="ABW67" s="185"/>
      <c r="ABX67" s="185"/>
      <c r="ABY67" s="185"/>
      <c r="ABZ67" s="185"/>
      <c r="ACA67" s="185"/>
      <c r="ACB67" s="185"/>
      <c r="ACC67" s="185"/>
      <c r="ACD67" s="185"/>
      <c r="ACE67" s="185"/>
      <c r="ACF67" s="185"/>
      <c r="ACG67" s="185"/>
      <c r="ACH67" s="185"/>
      <c r="ACI67" s="185"/>
      <c r="ACJ67" s="185"/>
      <c r="ACK67" s="185"/>
      <c r="ACL67" s="185"/>
      <c r="ACM67" s="185"/>
      <c r="ACN67" s="185"/>
      <c r="ACO67" s="185"/>
      <c r="ACP67" s="185"/>
      <c r="ACQ67" s="185"/>
      <c r="ACR67" s="185"/>
      <c r="ACS67" s="185"/>
      <c r="ACT67" s="185"/>
      <c r="ACU67" s="185"/>
      <c r="ACV67" s="185"/>
      <c r="ACW67" s="185"/>
      <c r="ACX67" s="185"/>
      <c r="ACY67" s="185"/>
      <c r="ACZ67" s="185"/>
      <c r="ADA67" s="185"/>
      <c r="ADB67" s="185"/>
      <c r="ADC67" s="185"/>
      <c r="ADD67" s="185"/>
      <c r="ADE67" s="185"/>
      <c r="ADF67" s="185"/>
      <c r="ADG67" s="185"/>
      <c r="ADH67" s="185"/>
      <c r="ADI67" s="185"/>
      <c r="ADJ67" s="185"/>
      <c r="ADK67" s="185"/>
      <c r="ADL67" s="185"/>
      <c r="ADM67" s="185"/>
      <c r="ADN67" s="185"/>
      <c r="ADO67" s="185"/>
      <c r="ADP67" s="185"/>
      <c r="ADQ67" s="185"/>
      <c r="ADR67" s="185"/>
      <c r="ADS67" s="185"/>
      <c r="ADT67" s="185"/>
      <c r="ADU67" s="185"/>
      <c r="ADV67" s="185"/>
      <c r="ADW67" s="185"/>
      <c r="ADX67" s="185"/>
      <c r="ADY67" s="185"/>
      <c r="ADZ67" s="185"/>
      <c r="AEA67" s="185"/>
      <c r="AEB67" s="185"/>
      <c r="AEC67" s="185"/>
      <c r="AED67" s="185"/>
      <c r="AEE67" s="185"/>
      <c r="AEF67" s="185"/>
      <c r="AEG67" s="185"/>
      <c r="AEH67" s="185"/>
      <c r="AEI67" s="185"/>
      <c r="AEJ67" s="185"/>
      <c r="AEK67" s="185"/>
      <c r="AEL67" s="185"/>
      <c r="AEM67" s="185"/>
      <c r="AEN67" s="185"/>
      <c r="AEO67" s="185"/>
      <c r="AEP67" s="185"/>
      <c r="AEQ67" s="185"/>
      <c r="AER67" s="185"/>
      <c r="AES67" s="185"/>
      <c r="AET67" s="185"/>
      <c r="AEU67" s="185"/>
      <c r="AEV67" s="185"/>
      <c r="AEW67" s="185"/>
      <c r="AEX67" s="185"/>
      <c r="AEY67" s="185"/>
      <c r="AEZ67" s="185"/>
      <c r="AFA67" s="185"/>
      <c r="AFB67" s="185"/>
      <c r="AFC67" s="185"/>
      <c r="AFD67" s="185"/>
      <c r="AFE67" s="185"/>
      <c r="AFF67" s="185"/>
      <c r="AFG67" s="185"/>
      <c r="AFH67" s="185"/>
      <c r="AFI67" s="185"/>
      <c r="AFJ67" s="185"/>
      <c r="AFK67" s="185"/>
      <c r="AFL67" s="185"/>
      <c r="AFM67" s="185"/>
      <c r="AFN67" s="185"/>
      <c r="AFO67" s="185"/>
      <c r="AFP67" s="185"/>
      <c r="AFQ67" s="185"/>
      <c r="AFR67" s="185"/>
      <c r="AFS67" s="185"/>
      <c r="AFT67" s="185"/>
      <c r="AFU67" s="185"/>
      <c r="AFV67" s="185"/>
      <c r="AFW67" s="185"/>
      <c r="AFX67" s="185"/>
      <c r="AFY67" s="185"/>
      <c r="AFZ67" s="185"/>
      <c r="AGA67" s="185"/>
      <c r="AGB67" s="185"/>
      <c r="AGC67" s="185"/>
      <c r="AGD67" s="185"/>
      <c r="AGE67" s="185"/>
      <c r="AGF67" s="185"/>
      <c r="AGG67" s="185"/>
      <c r="AGH67" s="185"/>
      <c r="AGI67" s="185"/>
      <c r="AGJ67" s="185"/>
      <c r="AGK67" s="185"/>
      <c r="AGL67" s="185"/>
      <c r="AGM67" s="185"/>
      <c r="AGN67" s="185"/>
      <c r="AGO67" s="185"/>
      <c r="AGP67" s="185"/>
      <c r="AGQ67" s="185"/>
      <c r="AGR67" s="185"/>
      <c r="AGS67" s="185"/>
      <c r="AGT67" s="185"/>
      <c r="AGU67" s="185"/>
      <c r="AGV67" s="185"/>
      <c r="AGW67" s="185"/>
      <c r="AGX67" s="185"/>
      <c r="AGY67" s="185"/>
      <c r="AGZ67" s="185"/>
      <c r="AHA67" s="185"/>
      <c r="AHB67" s="185"/>
      <c r="AHC67" s="185"/>
      <c r="AHD67" s="185"/>
      <c r="AHE67" s="185"/>
      <c r="AHF67" s="185"/>
      <c r="AHG67" s="185"/>
      <c r="AHH67" s="185"/>
      <c r="AHI67" s="185"/>
      <c r="AHJ67" s="185"/>
      <c r="AHK67" s="185"/>
      <c r="AHL67" s="185"/>
      <c r="AHM67" s="185"/>
      <c r="AHN67" s="185"/>
      <c r="AHO67" s="185"/>
      <c r="AHP67" s="185"/>
      <c r="AHQ67" s="185"/>
      <c r="AHR67" s="185"/>
      <c r="AHS67" s="185"/>
      <c r="AHT67" s="185"/>
      <c r="AHU67" s="185"/>
      <c r="AHV67" s="185"/>
      <c r="AHW67" s="185"/>
      <c r="AHX67" s="185"/>
      <c r="AHY67" s="185"/>
      <c r="AHZ67" s="185"/>
      <c r="AIA67" s="185"/>
      <c r="AIB67" s="185"/>
      <c r="AIC67" s="185"/>
      <c r="AID67" s="185"/>
      <c r="AIE67" s="185"/>
      <c r="AIF67" s="185"/>
      <c r="AIG67" s="185"/>
      <c r="AIH67" s="185"/>
      <c r="AII67" s="185"/>
      <c r="AIJ67" s="185"/>
      <c r="AIK67" s="185"/>
      <c r="AIL67" s="185"/>
      <c r="AIM67" s="185"/>
      <c r="AIN67" s="185"/>
      <c r="AIO67" s="185"/>
      <c r="AIP67" s="185"/>
      <c r="AIQ67" s="185"/>
      <c r="AIR67" s="185"/>
      <c r="AIS67" s="185"/>
      <c r="AIT67" s="185"/>
      <c r="AIU67" s="185"/>
      <c r="AIV67" s="185"/>
      <c r="AIW67" s="185"/>
      <c r="AIX67" s="185"/>
      <c r="AIY67" s="185"/>
      <c r="AIZ67" s="185"/>
      <c r="AJA67" s="185"/>
      <c r="AJB67" s="185"/>
      <c r="AJC67" s="185"/>
      <c r="AJD67" s="185"/>
      <c r="AJE67" s="185"/>
      <c r="AJF67" s="185"/>
      <c r="AJG67" s="185"/>
      <c r="AJH67" s="185"/>
      <c r="AJI67" s="185"/>
      <c r="AJJ67" s="185"/>
      <c r="AJK67" s="185"/>
      <c r="AJL67" s="185"/>
      <c r="AJM67" s="185"/>
      <c r="AJN67" s="185"/>
      <c r="AJO67" s="185"/>
      <c r="AJP67" s="185"/>
      <c r="AJQ67" s="185"/>
      <c r="AJR67" s="185"/>
      <c r="AJS67" s="185"/>
      <c r="AJT67" s="185"/>
      <c r="AJU67" s="185"/>
      <c r="AJV67" s="185"/>
      <c r="AJW67" s="185"/>
      <c r="AJX67" s="185"/>
      <c r="AJY67" s="185"/>
      <c r="AJZ67" s="185"/>
      <c r="AKA67" s="185"/>
      <c r="AKB67" s="185"/>
      <c r="AKC67" s="185"/>
      <c r="AKD67" s="185"/>
      <c r="AKE67" s="185"/>
      <c r="AKF67" s="185"/>
      <c r="AKG67" s="185"/>
      <c r="AKH67" s="185"/>
      <c r="AKI67" s="185"/>
      <c r="AKJ67" s="185"/>
      <c r="AKK67" s="185"/>
      <c r="AKL67" s="185"/>
      <c r="AKM67" s="185"/>
      <c r="AKN67" s="185"/>
      <c r="AKO67" s="185"/>
      <c r="AKP67" s="185"/>
      <c r="AKQ67" s="185"/>
      <c r="AKR67" s="185"/>
      <c r="AKS67" s="185"/>
      <c r="AKT67" s="185"/>
      <c r="AKU67" s="185"/>
      <c r="AKV67" s="185"/>
      <c r="AKW67" s="185"/>
      <c r="AKX67" s="185"/>
      <c r="AKY67" s="185"/>
      <c r="AKZ67" s="185"/>
      <c r="ALA67" s="185"/>
      <c r="ALB67" s="185"/>
      <c r="ALC67" s="185"/>
      <c r="ALD67" s="185"/>
      <c r="ALE67" s="185"/>
      <c r="ALF67" s="185"/>
      <c r="ALG67" s="185"/>
      <c r="ALH67" s="185"/>
      <c r="ALI67" s="185"/>
      <c r="ALJ67" s="185"/>
      <c r="ALK67" s="185"/>
      <c r="ALL67" s="185"/>
      <c r="ALM67" s="185"/>
      <c r="ALN67" s="185"/>
      <c r="ALO67" s="185"/>
      <c r="ALP67" s="185"/>
      <c r="ALQ67" s="185"/>
      <c r="ALR67" s="185"/>
      <c r="ALS67" s="185"/>
      <c r="ALT67" s="185"/>
      <c r="ALU67" s="185"/>
      <c r="ALV67" s="185"/>
      <c r="ALW67" s="185"/>
      <c r="ALX67" s="185"/>
      <c r="ALY67" s="185"/>
      <c r="ALZ67" s="185"/>
      <c r="AMA67" s="185"/>
      <c r="AMB67" s="185"/>
      <c r="AMC67" s="185"/>
      <c r="AMD67" s="185"/>
      <c r="AME67" s="185"/>
      <c r="AMF67" s="185"/>
      <c r="AMG67" s="185"/>
      <c r="AMH67" s="185"/>
      <c r="AMI67" s="185"/>
      <c r="AMJ67" s="185"/>
    </row>
    <row r="68" spans="1:1024" ht="13.5" customHeight="1" x14ac:dyDescent="0.25">
      <c r="A68" s="54"/>
      <c r="B68" s="187" t="s">
        <v>115</v>
      </c>
      <c r="C68" s="89">
        <v>1</v>
      </c>
      <c r="D68" s="63" t="s">
        <v>69</v>
      </c>
      <c r="E68" s="64">
        <v>500</v>
      </c>
      <c r="F68" s="64">
        <f t="shared" ref="F68:F69" si="14">IF(C68&gt;0,C68*E68,"")</f>
        <v>500</v>
      </c>
    </row>
    <row r="69" spans="1:1024" ht="13.5" customHeight="1" x14ac:dyDescent="0.25">
      <c r="A69" s="54"/>
      <c r="B69" s="187" t="s">
        <v>270</v>
      </c>
      <c r="C69" s="89">
        <f>2.3+2.75</f>
        <v>5.05</v>
      </c>
      <c r="D69" s="63" t="s">
        <v>41</v>
      </c>
      <c r="E69" s="64">
        <v>90</v>
      </c>
      <c r="F69" s="64">
        <f t="shared" si="14"/>
        <v>454.5</v>
      </c>
    </row>
    <row r="70" spans="1:1024" ht="13.5" customHeight="1" x14ac:dyDescent="0.25">
      <c r="A70" s="54"/>
      <c r="B70" s="187"/>
      <c r="C70" s="89"/>
      <c r="D70" s="63"/>
      <c r="E70" s="64"/>
      <c r="F70" s="64"/>
    </row>
    <row r="71" spans="1:1024" ht="13.5" customHeight="1" x14ac:dyDescent="0.25">
      <c r="A71" s="54"/>
      <c r="B71" s="221" t="s">
        <v>275</v>
      </c>
      <c r="C71" s="89"/>
      <c r="D71" s="63"/>
      <c r="E71" s="64"/>
      <c r="F71" s="64"/>
    </row>
    <row r="72" spans="1:1024" ht="13.5" customHeight="1" x14ac:dyDescent="0.25">
      <c r="A72" s="54"/>
      <c r="B72" s="187"/>
      <c r="C72" s="89"/>
      <c r="D72" s="63"/>
      <c r="E72" s="64"/>
      <c r="F72" s="64"/>
    </row>
    <row r="73" spans="1:1024" ht="13.5" customHeight="1" x14ac:dyDescent="0.25">
      <c r="A73" s="54"/>
      <c r="B73" s="188" t="s">
        <v>274</v>
      </c>
      <c r="C73" s="89">
        <v>4.97</v>
      </c>
      <c r="D73" s="63" t="s">
        <v>42</v>
      </c>
      <c r="E73" s="64">
        <f>25+10+350</f>
        <v>385</v>
      </c>
      <c r="F73" s="64">
        <f t="shared" ref="F73:F74" si="15">IF(C73&gt;0,C73*E73,"")</f>
        <v>1913.4499999999998</v>
      </c>
    </row>
    <row r="74" spans="1:1024" ht="13.5" customHeight="1" x14ac:dyDescent="0.25">
      <c r="A74" s="54"/>
      <c r="B74" s="187" t="s">
        <v>270</v>
      </c>
      <c r="C74" s="89">
        <f>2.1+2.4</f>
        <v>4.5</v>
      </c>
      <c r="D74" s="63" t="s">
        <v>41</v>
      </c>
      <c r="E74" s="64">
        <v>90</v>
      </c>
      <c r="F74" s="64">
        <f t="shared" si="15"/>
        <v>405</v>
      </c>
    </row>
    <row r="75" spans="1:1024" ht="13.5" customHeight="1" x14ac:dyDescent="0.25">
      <c r="A75" s="54"/>
      <c r="B75" s="188"/>
      <c r="C75" s="89"/>
      <c r="D75" s="63"/>
      <c r="E75" s="64"/>
      <c r="F75" s="64"/>
    </row>
    <row r="76" spans="1:1024" x14ac:dyDescent="0.25">
      <c r="A76" s="57"/>
      <c r="C76" s="89"/>
      <c r="D76" s="63"/>
      <c r="E76" s="64"/>
      <c r="F76" s="64"/>
    </row>
    <row r="77" spans="1:1024" ht="13.8" thickBot="1" x14ac:dyDescent="0.3">
      <c r="A77" s="57"/>
      <c r="B77" s="68" t="s">
        <v>137</v>
      </c>
      <c r="C77" s="90"/>
      <c r="D77" s="63"/>
      <c r="E77" s="91"/>
      <c r="F77" s="92">
        <f>SUM(F3:F76)</f>
        <v>136376.00050000002</v>
      </c>
    </row>
    <row r="78" spans="1:1024" ht="13.8" thickTop="1" x14ac:dyDescent="0.25">
      <c r="A78" s="57"/>
      <c r="B78" s="97"/>
      <c r="C78" s="90"/>
      <c r="D78" s="63"/>
      <c r="E78" s="91"/>
      <c r="F78" s="64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9"/>
  <sheetViews>
    <sheetView showOutlineSymbols="0" view="pageBreakPreview" zoomScaleNormal="100" zoomScaleSheetLayoutView="100" workbookViewId="0">
      <selection activeCell="E8" sqref="E8"/>
    </sheetView>
  </sheetViews>
  <sheetFormatPr defaultColWidth="8.88671875" defaultRowHeight="13.2" x14ac:dyDescent="0.25"/>
  <cols>
    <col min="1" max="1" width="7.44140625" style="38" customWidth="1"/>
    <col min="2" max="2" width="55.88671875" style="98" customWidth="1"/>
    <col min="3" max="3" width="7.5546875" style="99" customWidth="1"/>
    <col min="4" max="4" width="5.44140625" style="100" customWidth="1"/>
    <col min="5" max="5" width="9.5546875" style="101" customWidth="1"/>
    <col min="6" max="6" width="11.5546875" customWidth="1"/>
  </cols>
  <sheetData>
    <row r="1" spans="1:6" x14ac:dyDescent="0.25">
      <c r="A1" s="44"/>
      <c r="B1" s="102"/>
      <c r="C1" s="85" t="s">
        <v>38</v>
      </c>
      <c r="D1" s="86" t="s">
        <v>13</v>
      </c>
      <c r="E1" s="87" t="s">
        <v>39</v>
      </c>
      <c r="F1" s="86" t="s">
        <v>4</v>
      </c>
    </row>
    <row r="2" spans="1:6" x14ac:dyDescent="0.25">
      <c r="A2" s="49"/>
      <c r="B2" s="88" t="s">
        <v>49</v>
      </c>
      <c r="C2" s="103"/>
      <c r="D2" s="104"/>
      <c r="E2" s="105"/>
      <c r="F2" s="105"/>
    </row>
    <row r="3" spans="1:6" x14ac:dyDescent="0.25">
      <c r="A3" s="74"/>
      <c r="B3" s="106"/>
      <c r="C3" s="103"/>
      <c r="D3" s="104"/>
      <c r="E3" s="105"/>
      <c r="F3" s="105"/>
    </row>
    <row r="4" spans="1:6" x14ac:dyDescent="0.25">
      <c r="A4" s="54"/>
      <c r="B4" s="62" t="s">
        <v>204</v>
      </c>
      <c r="C4" s="103">
        <v>1</v>
      </c>
      <c r="D4" s="63" t="s">
        <v>44</v>
      </c>
      <c r="E4" s="105">
        <v>20000</v>
      </c>
      <c r="F4" s="105">
        <f t="shared" ref="F4:F6" si="0">IF(C4&gt;0,C4*E4,"")</f>
        <v>20000</v>
      </c>
    </row>
    <row r="5" spans="1:6" x14ac:dyDescent="0.25">
      <c r="A5" s="54"/>
      <c r="B5" s="62"/>
      <c r="C5" s="103"/>
      <c r="D5" s="63"/>
      <c r="E5" s="105"/>
      <c r="F5" s="105"/>
    </row>
    <row r="6" spans="1:6" x14ac:dyDescent="0.25">
      <c r="A6" s="54"/>
      <c r="B6" s="62" t="s">
        <v>205</v>
      </c>
      <c r="C6" s="103">
        <v>1</v>
      </c>
      <c r="D6" s="63" t="s">
        <v>44</v>
      </c>
      <c r="E6" s="105">
        <v>1500</v>
      </c>
      <c r="F6" s="105">
        <f t="shared" si="0"/>
        <v>1500</v>
      </c>
    </row>
    <row r="7" spans="1:6" x14ac:dyDescent="0.25">
      <c r="A7" s="54"/>
      <c r="B7" s="62"/>
      <c r="C7" s="103"/>
      <c r="D7" s="63"/>
      <c r="E7" s="105"/>
      <c r="F7" s="105"/>
    </row>
    <row r="8" spans="1:6" x14ac:dyDescent="0.25">
      <c r="A8" s="54"/>
      <c r="B8" s="65" t="s">
        <v>137</v>
      </c>
      <c r="C8" s="90"/>
      <c r="D8" s="63"/>
      <c r="E8" s="91"/>
      <c r="F8" s="92">
        <f>SUM(F4:F7)</f>
        <v>21500</v>
      </c>
    </row>
    <row r="9" spans="1:6" ht="13.8" thickTop="1" x14ac:dyDescent="0.25">
      <c r="A9" s="54"/>
      <c r="B9" s="62"/>
      <c r="C9" s="103"/>
      <c r="D9" s="63"/>
      <c r="E9" s="105"/>
      <c r="F9" s="105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MJ18"/>
  <sheetViews>
    <sheetView showOutlineSymbols="0" view="pageBreakPreview" zoomScaleNormal="100" zoomScaleSheetLayoutView="100" workbookViewId="0">
      <selection activeCell="B13" sqref="B13"/>
    </sheetView>
  </sheetViews>
  <sheetFormatPr defaultColWidth="9.109375" defaultRowHeight="13.2" x14ac:dyDescent="0.25"/>
  <cols>
    <col min="1" max="1" width="6.88671875" style="77" customWidth="1"/>
    <col min="2" max="2" width="54.109375" style="110" customWidth="1"/>
    <col min="3" max="3" width="7.5546875" style="111" customWidth="1"/>
    <col min="4" max="4" width="5.44140625" style="77" customWidth="1"/>
    <col min="5" max="5" width="9.5546875" style="112" customWidth="1"/>
    <col min="6" max="6" width="12.88671875" style="69" customWidth="1"/>
    <col min="7" max="7" width="9.109375" style="69"/>
    <col min="8" max="8" width="3.109375" style="114" customWidth="1"/>
    <col min="9" max="9" width="6" style="114" customWidth="1"/>
    <col min="10" max="10" width="7.88671875" style="114" customWidth="1"/>
    <col min="11" max="11" width="2.109375" style="114" customWidth="1"/>
    <col min="12" max="12" width="3.109375" style="114" customWidth="1"/>
    <col min="13" max="13" width="9.109375" style="114"/>
    <col min="14" max="14" width="9.5546875" style="114" customWidth="1"/>
    <col min="15" max="15" width="9.5546875" style="69" customWidth="1"/>
    <col min="16" max="16" width="9.5546875" style="136" customWidth="1"/>
    <col min="17" max="25" width="9.5546875" style="69" customWidth="1"/>
    <col min="26" max="26" width="1.44140625" style="69" customWidth="1"/>
    <col min="27" max="27" width="11.44140625" style="69" customWidth="1"/>
    <col min="28" max="28" width="1.5546875" style="69" customWidth="1"/>
    <col min="29" max="29" width="9.109375" style="69"/>
    <col min="30" max="30" width="9.88671875" style="69" customWidth="1"/>
    <col min="31" max="31" width="3.44140625" style="69" customWidth="1"/>
    <col min="32" max="32" width="6" style="69" customWidth="1"/>
    <col min="33" max="33" width="1.5546875" style="69" customWidth="1"/>
    <col min="34" max="34" width="5" style="69" customWidth="1"/>
    <col min="35" max="35" width="2.5546875" style="69" customWidth="1"/>
    <col min="36" max="36" width="6" style="69" customWidth="1"/>
    <col min="37" max="1024" width="9.109375" style="69"/>
  </cols>
  <sheetData>
    <row r="1" spans="1:1024" x14ac:dyDescent="0.25">
      <c r="A1" s="83"/>
      <c r="B1" s="113"/>
      <c r="C1" s="46" t="s">
        <v>38</v>
      </c>
      <c r="D1" s="47" t="s">
        <v>13</v>
      </c>
      <c r="E1" s="48" t="s">
        <v>39</v>
      </c>
      <c r="F1" s="47" t="s">
        <v>4</v>
      </c>
    </row>
    <row r="2" spans="1:1024" x14ac:dyDescent="0.25">
      <c r="A2" s="49"/>
      <c r="B2" s="50" t="s">
        <v>51</v>
      </c>
      <c r="C2" s="56"/>
      <c r="D2" s="57"/>
      <c r="E2" s="58"/>
      <c r="F2" s="58"/>
    </row>
    <row r="3" spans="1:1024" x14ac:dyDescent="0.25">
      <c r="A3" s="54"/>
      <c r="B3" s="55"/>
      <c r="C3" s="56"/>
      <c r="D3" s="57"/>
      <c r="E3" s="58"/>
      <c r="F3" s="58"/>
      <c r="I3" s="137"/>
    </row>
    <row r="4" spans="1:1024" ht="39.6" x14ac:dyDescent="0.25">
      <c r="A4" s="54"/>
      <c r="B4" s="193" t="s">
        <v>243</v>
      </c>
      <c r="C4" s="56">
        <f>(0.5+0.5+3)*0.7</f>
        <v>2.8</v>
      </c>
      <c r="D4" s="57" t="s">
        <v>42</v>
      </c>
      <c r="E4" s="197">
        <f>375+10+25+60+30</f>
        <v>500</v>
      </c>
      <c r="F4" s="58">
        <f t="shared" ref="F4:F5" si="0">IF(C4&gt;0,C4*E4,"")</f>
        <v>1400</v>
      </c>
      <c r="I4" s="137"/>
    </row>
    <row r="5" spans="1:1024" x14ac:dyDescent="0.25">
      <c r="A5" s="54"/>
      <c r="B5" s="192" t="s">
        <v>114</v>
      </c>
      <c r="C5" s="56">
        <v>1</v>
      </c>
      <c r="D5" s="57" t="s">
        <v>50</v>
      </c>
      <c r="E5" s="58">
        <v>300</v>
      </c>
      <c r="F5" s="58">
        <f t="shared" si="0"/>
        <v>300</v>
      </c>
      <c r="I5" s="137"/>
    </row>
    <row r="6" spans="1:1024" x14ac:dyDescent="0.25">
      <c r="A6" s="54"/>
      <c r="B6" s="195" t="s">
        <v>244</v>
      </c>
      <c r="C6" s="56">
        <f>(0.5+3)</f>
        <v>3.5</v>
      </c>
      <c r="D6" s="57" t="s">
        <v>41</v>
      </c>
      <c r="E6" s="197">
        <v>250</v>
      </c>
      <c r="F6" s="58">
        <f t="shared" ref="F6" si="1">IF(C6&gt;0,C6*E6,"")</f>
        <v>875</v>
      </c>
      <c r="I6" s="137"/>
    </row>
    <row r="7" spans="1:1024" x14ac:dyDescent="0.25">
      <c r="A7" s="54"/>
      <c r="B7" s="62"/>
      <c r="C7" s="89"/>
      <c r="D7" s="63"/>
      <c r="E7" s="64"/>
      <c r="F7" s="64"/>
      <c r="G7" s="82"/>
      <c r="H7" s="82"/>
      <c r="I7" s="82"/>
      <c r="L7" s="69"/>
      <c r="M7" s="176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2"/>
      <c r="JW7" s="82"/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2"/>
      <c r="LP7" s="82"/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2"/>
      <c r="NI7" s="82"/>
      <c r="NJ7" s="82"/>
      <c r="NK7" s="82"/>
      <c r="NL7" s="82"/>
      <c r="NM7" s="82"/>
      <c r="NN7" s="82"/>
      <c r="NO7" s="82"/>
      <c r="NP7" s="82"/>
      <c r="NQ7" s="82"/>
      <c r="NR7" s="82"/>
      <c r="NS7" s="82"/>
      <c r="NT7" s="82"/>
      <c r="NU7" s="82"/>
      <c r="NV7" s="82"/>
      <c r="NW7" s="82"/>
      <c r="NX7" s="82"/>
      <c r="NY7" s="82"/>
      <c r="NZ7" s="82"/>
      <c r="OA7" s="82"/>
      <c r="OB7" s="82"/>
      <c r="OC7" s="82"/>
      <c r="OD7" s="82"/>
      <c r="OE7" s="82"/>
      <c r="OF7" s="82"/>
      <c r="OG7" s="82"/>
      <c r="OH7" s="82"/>
      <c r="OI7" s="82"/>
      <c r="OJ7" s="82"/>
      <c r="OK7" s="82"/>
      <c r="OL7" s="82"/>
      <c r="OM7" s="82"/>
      <c r="ON7" s="82"/>
      <c r="OO7" s="82"/>
      <c r="OP7" s="82"/>
      <c r="OQ7" s="82"/>
      <c r="OR7" s="82"/>
      <c r="OS7" s="82"/>
      <c r="OT7" s="82"/>
      <c r="OU7" s="82"/>
      <c r="OV7" s="82"/>
      <c r="OW7" s="82"/>
      <c r="OX7" s="82"/>
      <c r="OY7" s="82"/>
      <c r="OZ7" s="82"/>
      <c r="PA7" s="82"/>
      <c r="PB7" s="82"/>
      <c r="PC7" s="82"/>
      <c r="PD7" s="82"/>
      <c r="PE7" s="82"/>
      <c r="PF7" s="82"/>
      <c r="PG7" s="82"/>
      <c r="PH7" s="82"/>
      <c r="PI7" s="82"/>
      <c r="PJ7" s="82"/>
      <c r="PK7" s="82"/>
      <c r="PL7" s="82"/>
      <c r="PM7" s="82"/>
      <c r="PN7" s="82"/>
      <c r="PO7" s="82"/>
      <c r="PP7" s="82"/>
      <c r="PQ7" s="82"/>
      <c r="PR7" s="82"/>
      <c r="PS7" s="82"/>
      <c r="PT7" s="82"/>
      <c r="PU7" s="82"/>
      <c r="PV7" s="82"/>
      <c r="PW7" s="82"/>
      <c r="PX7" s="82"/>
      <c r="PY7" s="82"/>
      <c r="PZ7" s="82"/>
      <c r="QA7" s="82"/>
      <c r="QB7" s="82"/>
      <c r="QC7" s="82"/>
      <c r="QD7" s="82"/>
      <c r="QE7" s="82"/>
      <c r="QF7" s="82"/>
      <c r="QG7" s="82"/>
      <c r="QH7" s="82"/>
      <c r="QI7" s="82"/>
      <c r="QJ7" s="82"/>
      <c r="QK7" s="82"/>
      <c r="QL7" s="82"/>
      <c r="QM7" s="82"/>
      <c r="QN7" s="82"/>
      <c r="QO7" s="82"/>
      <c r="QP7" s="82"/>
      <c r="QQ7" s="82"/>
      <c r="QR7" s="82"/>
      <c r="QS7" s="82"/>
      <c r="QT7" s="82"/>
      <c r="QU7" s="82"/>
      <c r="QV7" s="82"/>
      <c r="QW7" s="82"/>
      <c r="QX7" s="82"/>
      <c r="QY7" s="82"/>
      <c r="QZ7" s="82"/>
      <c r="RA7" s="82"/>
      <c r="RB7" s="82"/>
      <c r="RC7" s="82"/>
      <c r="RD7" s="82"/>
      <c r="RE7" s="82"/>
      <c r="RF7" s="82"/>
      <c r="RG7" s="82"/>
      <c r="RH7" s="82"/>
      <c r="RI7" s="82"/>
      <c r="RJ7" s="82"/>
      <c r="RK7" s="82"/>
      <c r="RL7" s="82"/>
      <c r="RM7" s="82"/>
      <c r="RN7" s="82"/>
      <c r="RO7" s="82"/>
      <c r="RP7" s="82"/>
      <c r="RQ7" s="82"/>
      <c r="RR7" s="82"/>
      <c r="RS7" s="82"/>
      <c r="RT7" s="82"/>
      <c r="RU7" s="82"/>
      <c r="RV7" s="82"/>
      <c r="RW7" s="82"/>
      <c r="RX7" s="82"/>
      <c r="RY7" s="82"/>
      <c r="RZ7" s="82"/>
      <c r="SA7" s="82"/>
      <c r="SB7" s="82"/>
      <c r="SC7" s="82"/>
      <c r="SD7" s="82"/>
      <c r="SE7" s="82"/>
      <c r="SF7" s="82"/>
      <c r="SG7" s="82"/>
      <c r="SH7" s="82"/>
      <c r="SI7" s="82"/>
      <c r="SJ7" s="82"/>
      <c r="SK7" s="82"/>
      <c r="SL7" s="82"/>
      <c r="SM7" s="82"/>
      <c r="SN7" s="82"/>
      <c r="SO7" s="82"/>
      <c r="SP7" s="82"/>
      <c r="SQ7" s="82"/>
      <c r="SR7" s="82"/>
      <c r="SS7" s="82"/>
      <c r="ST7" s="82"/>
      <c r="SU7" s="82"/>
      <c r="SV7" s="82"/>
      <c r="SW7" s="82"/>
      <c r="SX7" s="82"/>
      <c r="SY7" s="82"/>
      <c r="SZ7" s="82"/>
      <c r="TA7" s="82"/>
      <c r="TB7" s="82"/>
      <c r="TC7" s="82"/>
      <c r="TD7" s="82"/>
      <c r="TE7" s="82"/>
      <c r="TF7" s="82"/>
      <c r="TG7" s="82"/>
      <c r="TH7" s="82"/>
      <c r="TI7" s="82"/>
      <c r="TJ7" s="82"/>
      <c r="TK7" s="82"/>
      <c r="TL7" s="82"/>
      <c r="TM7" s="82"/>
      <c r="TN7" s="82"/>
      <c r="TO7" s="82"/>
      <c r="TP7" s="82"/>
      <c r="TQ7" s="82"/>
      <c r="TR7" s="82"/>
      <c r="TS7" s="82"/>
      <c r="TT7" s="82"/>
      <c r="TU7" s="82"/>
      <c r="TV7" s="82"/>
      <c r="TW7" s="82"/>
      <c r="TX7" s="82"/>
      <c r="TY7" s="82"/>
      <c r="TZ7" s="82"/>
      <c r="UA7" s="82"/>
      <c r="UB7" s="82"/>
      <c r="UC7" s="82"/>
      <c r="UD7" s="82"/>
      <c r="UE7" s="82"/>
      <c r="UF7" s="82"/>
      <c r="UG7" s="82"/>
      <c r="UH7" s="82"/>
      <c r="UI7" s="82"/>
      <c r="UJ7" s="82"/>
      <c r="UK7" s="82"/>
      <c r="UL7" s="82"/>
      <c r="UM7" s="82"/>
      <c r="UN7" s="82"/>
      <c r="UO7" s="82"/>
      <c r="UP7" s="82"/>
      <c r="UQ7" s="82"/>
      <c r="UR7" s="82"/>
      <c r="US7" s="82"/>
      <c r="UT7" s="82"/>
      <c r="UU7" s="82"/>
      <c r="UV7" s="82"/>
      <c r="UW7" s="82"/>
      <c r="UX7" s="82"/>
      <c r="UY7" s="82"/>
      <c r="UZ7" s="82"/>
      <c r="VA7" s="82"/>
      <c r="VB7" s="82"/>
      <c r="VC7" s="82"/>
      <c r="VD7" s="82"/>
      <c r="VE7" s="82"/>
      <c r="VF7" s="82"/>
      <c r="VG7" s="82"/>
      <c r="VH7" s="82"/>
      <c r="VI7" s="82"/>
      <c r="VJ7" s="82"/>
      <c r="VK7" s="82"/>
      <c r="VL7" s="82"/>
      <c r="VM7" s="82"/>
      <c r="VN7" s="82"/>
      <c r="VO7" s="82"/>
      <c r="VP7" s="82"/>
      <c r="VQ7" s="82"/>
      <c r="VR7" s="82"/>
      <c r="VS7" s="82"/>
      <c r="VT7" s="82"/>
      <c r="VU7" s="82"/>
      <c r="VV7" s="82"/>
      <c r="VW7" s="82"/>
      <c r="VX7" s="82"/>
      <c r="VY7" s="82"/>
      <c r="VZ7" s="82"/>
      <c r="WA7" s="82"/>
      <c r="WB7" s="82"/>
      <c r="WC7" s="82"/>
      <c r="WD7" s="82"/>
      <c r="WE7" s="82"/>
      <c r="WF7" s="82"/>
      <c r="WG7" s="82"/>
      <c r="WH7" s="82"/>
      <c r="WI7" s="82"/>
      <c r="WJ7" s="82"/>
      <c r="WK7" s="82"/>
      <c r="WL7" s="82"/>
      <c r="WM7" s="82"/>
      <c r="WN7" s="82"/>
      <c r="WO7" s="82"/>
      <c r="WP7" s="82"/>
      <c r="WQ7" s="82"/>
      <c r="WR7" s="82"/>
      <c r="WS7" s="82"/>
      <c r="WT7" s="82"/>
      <c r="WU7" s="82"/>
      <c r="WV7" s="82"/>
      <c r="WW7" s="82"/>
      <c r="WX7" s="82"/>
      <c r="WY7" s="82"/>
      <c r="WZ7" s="82"/>
      <c r="XA7" s="82"/>
      <c r="XB7" s="82"/>
      <c r="XC7" s="82"/>
      <c r="XD7" s="82"/>
      <c r="XE7" s="82"/>
      <c r="XF7" s="82"/>
      <c r="XG7" s="82"/>
      <c r="XH7" s="82"/>
      <c r="XI7" s="82"/>
      <c r="XJ7" s="82"/>
      <c r="XK7" s="82"/>
      <c r="XL7" s="82"/>
      <c r="XM7" s="82"/>
      <c r="XN7" s="82"/>
      <c r="XO7" s="82"/>
      <c r="XP7" s="82"/>
      <c r="XQ7" s="82"/>
      <c r="XR7" s="82"/>
      <c r="XS7" s="82"/>
      <c r="XT7" s="82"/>
      <c r="XU7" s="82"/>
      <c r="XV7" s="82"/>
      <c r="XW7" s="82"/>
      <c r="XX7" s="82"/>
      <c r="XY7" s="82"/>
      <c r="XZ7" s="82"/>
      <c r="YA7" s="82"/>
      <c r="YB7" s="82"/>
      <c r="YC7" s="82"/>
      <c r="YD7" s="82"/>
      <c r="YE7" s="82"/>
      <c r="YF7" s="82"/>
      <c r="YG7" s="82"/>
      <c r="YH7" s="82"/>
      <c r="YI7" s="82"/>
      <c r="YJ7" s="82"/>
      <c r="YK7" s="82"/>
      <c r="YL7" s="82"/>
      <c r="YM7" s="82"/>
      <c r="YN7" s="82"/>
      <c r="YO7" s="82"/>
      <c r="YP7" s="82"/>
      <c r="YQ7" s="82"/>
      <c r="YR7" s="82"/>
      <c r="YS7" s="82"/>
      <c r="YT7" s="82"/>
      <c r="YU7" s="82"/>
      <c r="YV7" s="82"/>
      <c r="YW7" s="82"/>
      <c r="YX7" s="82"/>
      <c r="YY7" s="82"/>
      <c r="YZ7" s="82"/>
      <c r="ZA7" s="82"/>
      <c r="ZB7" s="82"/>
      <c r="ZC7" s="82"/>
      <c r="ZD7" s="82"/>
      <c r="ZE7" s="82"/>
      <c r="ZF7" s="82"/>
      <c r="ZG7" s="82"/>
      <c r="ZH7" s="82"/>
      <c r="ZI7" s="82"/>
      <c r="ZJ7" s="82"/>
      <c r="ZK7" s="82"/>
      <c r="ZL7" s="82"/>
      <c r="ZM7" s="82"/>
      <c r="ZN7" s="82"/>
      <c r="ZO7" s="82"/>
      <c r="ZP7" s="82"/>
      <c r="ZQ7" s="82"/>
      <c r="ZR7" s="82"/>
      <c r="ZS7" s="82"/>
      <c r="ZT7" s="82"/>
      <c r="ZU7" s="82"/>
      <c r="ZV7" s="82"/>
      <c r="ZW7" s="82"/>
      <c r="ZX7" s="82"/>
      <c r="ZY7" s="82"/>
      <c r="ZZ7" s="82"/>
      <c r="AAA7" s="82"/>
      <c r="AAB7" s="82"/>
      <c r="AAC7" s="82"/>
      <c r="AAD7" s="82"/>
      <c r="AAE7" s="82"/>
      <c r="AAF7" s="82"/>
      <c r="AAG7" s="82"/>
      <c r="AAH7" s="82"/>
      <c r="AAI7" s="82"/>
      <c r="AAJ7" s="82"/>
      <c r="AAK7" s="82"/>
      <c r="AAL7" s="82"/>
      <c r="AAM7" s="82"/>
      <c r="AAN7" s="82"/>
      <c r="AAO7" s="82"/>
      <c r="AAP7" s="82"/>
      <c r="AAQ7" s="82"/>
      <c r="AAR7" s="82"/>
      <c r="AAS7" s="82"/>
      <c r="AAT7" s="82"/>
      <c r="AAU7" s="82"/>
      <c r="AAV7" s="82"/>
      <c r="AAW7" s="82"/>
      <c r="AAX7" s="82"/>
      <c r="AAY7" s="82"/>
      <c r="AAZ7" s="82"/>
      <c r="ABA7" s="82"/>
      <c r="ABB7" s="82"/>
      <c r="ABC7" s="82"/>
      <c r="ABD7" s="82"/>
      <c r="ABE7" s="82"/>
      <c r="ABF7" s="82"/>
      <c r="ABG7" s="82"/>
      <c r="ABH7" s="82"/>
      <c r="ABI7" s="82"/>
      <c r="ABJ7" s="82"/>
      <c r="ABK7" s="82"/>
      <c r="ABL7" s="82"/>
      <c r="ABM7" s="82"/>
      <c r="ABN7" s="82"/>
      <c r="ABO7" s="82"/>
      <c r="ABP7" s="82"/>
      <c r="ABQ7" s="82"/>
      <c r="ABR7" s="82"/>
      <c r="ABS7" s="82"/>
      <c r="ABT7" s="82"/>
      <c r="ABU7" s="82"/>
      <c r="ABV7" s="82"/>
      <c r="ABW7" s="82"/>
      <c r="ABX7" s="82"/>
      <c r="ABY7" s="82"/>
      <c r="ABZ7" s="82"/>
      <c r="ACA7" s="82"/>
      <c r="ACB7" s="82"/>
      <c r="ACC7" s="82"/>
      <c r="ACD7" s="82"/>
      <c r="ACE7" s="82"/>
      <c r="ACF7" s="82"/>
      <c r="ACG7" s="82"/>
      <c r="ACH7" s="82"/>
      <c r="ACI7" s="82"/>
      <c r="ACJ7" s="82"/>
      <c r="ACK7" s="82"/>
      <c r="ACL7" s="82"/>
      <c r="ACM7" s="82"/>
      <c r="ACN7" s="82"/>
      <c r="ACO7" s="82"/>
      <c r="ACP7" s="82"/>
      <c r="ACQ7" s="82"/>
      <c r="ACR7" s="82"/>
      <c r="ACS7" s="82"/>
      <c r="ACT7" s="82"/>
      <c r="ACU7" s="82"/>
      <c r="ACV7" s="82"/>
      <c r="ACW7" s="82"/>
      <c r="ACX7" s="82"/>
      <c r="ACY7" s="82"/>
      <c r="ACZ7" s="82"/>
      <c r="ADA7" s="82"/>
      <c r="ADB7" s="82"/>
      <c r="ADC7" s="82"/>
      <c r="ADD7" s="82"/>
      <c r="ADE7" s="82"/>
      <c r="ADF7" s="82"/>
      <c r="ADG7" s="82"/>
      <c r="ADH7" s="82"/>
      <c r="ADI7" s="82"/>
      <c r="ADJ7" s="82"/>
      <c r="ADK7" s="82"/>
      <c r="ADL7" s="82"/>
      <c r="ADM7" s="82"/>
      <c r="ADN7" s="82"/>
      <c r="ADO7" s="82"/>
      <c r="ADP7" s="82"/>
      <c r="ADQ7" s="82"/>
      <c r="ADR7" s="82"/>
      <c r="ADS7" s="82"/>
      <c r="ADT7" s="82"/>
      <c r="ADU7" s="82"/>
      <c r="ADV7" s="82"/>
      <c r="ADW7" s="82"/>
      <c r="ADX7" s="82"/>
      <c r="ADY7" s="82"/>
      <c r="ADZ7" s="82"/>
      <c r="AEA7" s="82"/>
      <c r="AEB7" s="82"/>
      <c r="AEC7" s="82"/>
      <c r="AED7" s="82"/>
      <c r="AEE7" s="82"/>
      <c r="AEF7" s="82"/>
      <c r="AEG7" s="82"/>
      <c r="AEH7" s="82"/>
      <c r="AEI7" s="82"/>
      <c r="AEJ7" s="82"/>
      <c r="AEK7" s="82"/>
      <c r="AEL7" s="82"/>
      <c r="AEM7" s="82"/>
      <c r="AEN7" s="82"/>
      <c r="AEO7" s="82"/>
      <c r="AEP7" s="82"/>
      <c r="AEQ7" s="82"/>
      <c r="AER7" s="82"/>
      <c r="AES7" s="82"/>
      <c r="AET7" s="82"/>
      <c r="AEU7" s="82"/>
      <c r="AEV7" s="82"/>
      <c r="AEW7" s="82"/>
      <c r="AEX7" s="82"/>
      <c r="AEY7" s="82"/>
      <c r="AEZ7" s="82"/>
      <c r="AFA7" s="82"/>
      <c r="AFB7" s="82"/>
      <c r="AFC7" s="82"/>
      <c r="AFD7" s="82"/>
      <c r="AFE7" s="82"/>
      <c r="AFF7" s="82"/>
      <c r="AFG7" s="82"/>
      <c r="AFH7" s="82"/>
      <c r="AFI7" s="82"/>
      <c r="AFJ7" s="82"/>
      <c r="AFK7" s="82"/>
      <c r="AFL7" s="82"/>
      <c r="AFM7" s="82"/>
      <c r="AFN7" s="82"/>
      <c r="AFO7" s="82"/>
      <c r="AFP7" s="82"/>
      <c r="AFQ7" s="82"/>
      <c r="AFR7" s="82"/>
      <c r="AFS7" s="82"/>
      <c r="AFT7" s="82"/>
      <c r="AFU7" s="82"/>
      <c r="AFV7" s="82"/>
      <c r="AFW7" s="82"/>
      <c r="AFX7" s="82"/>
      <c r="AFY7" s="82"/>
      <c r="AFZ7" s="82"/>
      <c r="AGA7" s="82"/>
      <c r="AGB7" s="82"/>
      <c r="AGC7" s="82"/>
      <c r="AGD7" s="82"/>
      <c r="AGE7" s="82"/>
      <c r="AGF7" s="82"/>
      <c r="AGG7" s="82"/>
      <c r="AGH7" s="82"/>
      <c r="AGI7" s="82"/>
      <c r="AGJ7" s="82"/>
      <c r="AGK7" s="82"/>
      <c r="AGL7" s="82"/>
      <c r="AGM7" s="82"/>
      <c r="AGN7" s="82"/>
      <c r="AGO7" s="82"/>
      <c r="AGP7" s="82"/>
      <c r="AGQ7" s="82"/>
      <c r="AGR7" s="82"/>
      <c r="AGS7" s="82"/>
      <c r="AGT7" s="82"/>
      <c r="AGU7" s="82"/>
      <c r="AGV7" s="82"/>
      <c r="AGW7" s="82"/>
      <c r="AGX7" s="82"/>
      <c r="AGY7" s="82"/>
      <c r="AGZ7" s="82"/>
      <c r="AHA7" s="82"/>
      <c r="AHB7" s="82"/>
      <c r="AHC7" s="82"/>
      <c r="AHD7" s="82"/>
      <c r="AHE7" s="82"/>
      <c r="AHF7" s="82"/>
      <c r="AHG7" s="82"/>
      <c r="AHH7" s="82"/>
      <c r="AHI7" s="82"/>
      <c r="AHJ7" s="82"/>
      <c r="AHK7" s="82"/>
      <c r="AHL7" s="82"/>
      <c r="AHM7" s="82"/>
      <c r="AHN7" s="82"/>
      <c r="AHO7" s="82"/>
      <c r="AHP7" s="82"/>
      <c r="AHQ7" s="82"/>
      <c r="AHR7" s="82"/>
      <c r="AHS7" s="82"/>
      <c r="AHT7" s="82"/>
      <c r="AHU7" s="82"/>
      <c r="AHV7" s="82"/>
      <c r="AHW7" s="82"/>
      <c r="AHX7" s="82"/>
      <c r="AHY7" s="82"/>
      <c r="AHZ7" s="82"/>
      <c r="AIA7" s="82"/>
      <c r="AIB7" s="82"/>
      <c r="AIC7" s="82"/>
      <c r="AID7" s="82"/>
      <c r="AIE7" s="82"/>
      <c r="AIF7" s="82"/>
      <c r="AIG7" s="82"/>
      <c r="AIH7" s="82"/>
      <c r="AII7" s="82"/>
      <c r="AIJ7" s="82"/>
      <c r="AIK7" s="82"/>
      <c r="AIL7" s="82"/>
      <c r="AIM7" s="82"/>
      <c r="AIN7" s="82"/>
      <c r="AIO7" s="82"/>
      <c r="AIP7" s="82"/>
      <c r="AIQ7" s="82"/>
      <c r="AIR7" s="82"/>
      <c r="AIS7" s="82"/>
      <c r="AIT7" s="82"/>
      <c r="AIU7" s="82"/>
      <c r="AIV7" s="82"/>
      <c r="AIW7" s="82"/>
      <c r="AIX7" s="82"/>
      <c r="AIY7" s="82"/>
      <c r="AIZ7" s="82"/>
      <c r="AJA7" s="82"/>
      <c r="AJB7" s="82"/>
      <c r="AJC7" s="82"/>
      <c r="AJD7" s="82"/>
      <c r="AJE7" s="82"/>
      <c r="AJF7" s="82"/>
      <c r="AJG7" s="82"/>
      <c r="AJH7" s="82"/>
      <c r="AJI7" s="82"/>
      <c r="AJJ7" s="82"/>
      <c r="AJK7" s="82"/>
      <c r="AJL7" s="82"/>
      <c r="AJM7" s="82"/>
      <c r="AJN7" s="82"/>
      <c r="AJO7" s="82"/>
      <c r="AJP7" s="82"/>
      <c r="AJQ7" s="82"/>
      <c r="AJR7" s="82"/>
      <c r="AJS7" s="82"/>
      <c r="AJT7" s="82"/>
      <c r="AJU7" s="82"/>
      <c r="AJV7" s="82"/>
      <c r="AJW7" s="82"/>
      <c r="AJX7" s="82"/>
      <c r="AJY7" s="82"/>
      <c r="AJZ7" s="82"/>
      <c r="AKA7" s="82"/>
      <c r="AKB7" s="82"/>
      <c r="AKC7" s="82"/>
      <c r="AKD7" s="82"/>
      <c r="AKE7" s="82"/>
      <c r="AKF7" s="82"/>
      <c r="AKG7" s="82"/>
      <c r="AKH7" s="82"/>
      <c r="AKI7" s="82"/>
      <c r="AKJ7" s="82"/>
      <c r="AKK7" s="82"/>
      <c r="AKL7" s="82"/>
      <c r="AKM7" s="82"/>
      <c r="AKN7" s="82"/>
      <c r="AKO7" s="82"/>
      <c r="AKP7" s="82"/>
      <c r="AKQ7" s="82"/>
      <c r="AKR7" s="82"/>
      <c r="AKS7" s="82"/>
      <c r="AKT7" s="82"/>
      <c r="AKU7" s="82"/>
      <c r="AKV7" s="82"/>
      <c r="AKW7" s="82"/>
      <c r="AKX7" s="82"/>
      <c r="AKY7" s="82"/>
      <c r="AKZ7" s="82"/>
      <c r="ALA7" s="82"/>
      <c r="ALB7" s="82"/>
      <c r="ALC7" s="82"/>
      <c r="ALD7" s="82"/>
      <c r="ALE7" s="82"/>
      <c r="ALF7" s="82"/>
      <c r="ALG7" s="82"/>
      <c r="ALH7" s="82"/>
      <c r="ALI7" s="82"/>
      <c r="ALJ7" s="82"/>
      <c r="ALK7" s="82"/>
      <c r="ALL7" s="82"/>
      <c r="ALM7" s="82"/>
      <c r="ALN7" s="82"/>
      <c r="ALO7" s="82"/>
      <c r="ALP7" s="82"/>
      <c r="ALQ7" s="82"/>
      <c r="ALR7" s="82"/>
      <c r="ALS7" s="82"/>
      <c r="ALT7" s="82"/>
      <c r="ALU7" s="82"/>
      <c r="ALV7" s="82"/>
      <c r="ALW7" s="82"/>
      <c r="ALX7" s="82"/>
      <c r="ALY7" s="82"/>
      <c r="ALZ7" s="82"/>
      <c r="AMA7" s="82"/>
      <c r="AMB7" s="82"/>
      <c r="AMC7" s="82"/>
      <c r="AMD7" s="82"/>
      <c r="AME7" s="82"/>
      <c r="AMF7" s="82"/>
      <c r="AMG7" s="82"/>
      <c r="AMH7" s="82"/>
      <c r="AMI7" s="82"/>
      <c r="AMJ7" s="82"/>
    </row>
    <row r="8" spans="1:1024" x14ac:dyDescent="0.25">
      <c r="A8" s="54"/>
      <c r="B8" s="62" t="s">
        <v>239</v>
      </c>
      <c r="C8" s="89">
        <f>(3+0.5)*1.802</f>
        <v>6.3070000000000004</v>
      </c>
      <c r="D8" s="63" t="s">
        <v>42</v>
      </c>
      <c r="E8" s="64">
        <v>1000</v>
      </c>
      <c r="F8" s="64">
        <f>IF(C8&gt;0,C8*E8,"")</f>
        <v>6307</v>
      </c>
      <c r="G8" s="82"/>
      <c r="H8" s="82"/>
      <c r="I8" s="82"/>
      <c r="L8" s="69"/>
      <c r="M8" s="176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2"/>
      <c r="NI8" s="82"/>
      <c r="NJ8" s="82"/>
      <c r="NK8" s="82"/>
      <c r="NL8" s="82"/>
      <c r="NM8" s="82"/>
      <c r="NN8" s="82"/>
      <c r="NO8" s="82"/>
      <c r="NP8" s="82"/>
      <c r="NQ8" s="82"/>
      <c r="NR8" s="82"/>
      <c r="NS8" s="82"/>
      <c r="NT8" s="82"/>
      <c r="NU8" s="82"/>
      <c r="NV8" s="82"/>
      <c r="NW8" s="82"/>
      <c r="NX8" s="82"/>
      <c r="NY8" s="82"/>
      <c r="NZ8" s="82"/>
      <c r="OA8" s="82"/>
      <c r="OB8" s="82"/>
      <c r="OC8" s="82"/>
      <c r="OD8" s="82"/>
      <c r="OE8" s="82"/>
      <c r="OF8" s="82"/>
      <c r="OG8" s="82"/>
      <c r="OH8" s="82"/>
      <c r="OI8" s="82"/>
      <c r="OJ8" s="82"/>
      <c r="OK8" s="82"/>
      <c r="OL8" s="82"/>
      <c r="OM8" s="82"/>
      <c r="ON8" s="82"/>
      <c r="OO8" s="82"/>
      <c r="OP8" s="82"/>
      <c r="OQ8" s="82"/>
      <c r="OR8" s="82"/>
      <c r="OS8" s="82"/>
      <c r="OT8" s="82"/>
      <c r="OU8" s="82"/>
      <c r="OV8" s="82"/>
      <c r="OW8" s="82"/>
      <c r="OX8" s="82"/>
      <c r="OY8" s="82"/>
      <c r="OZ8" s="82"/>
      <c r="PA8" s="82"/>
      <c r="PB8" s="82"/>
      <c r="PC8" s="82"/>
      <c r="PD8" s="82"/>
      <c r="PE8" s="82"/>
      <c r="PF8" s="82"/>
      <c r="PG8" s="82"/>
      <c r="PH8" s="82"/>
      <c r="PI8" s="82"/>
      <c r="PJ8" s="82"/>
      <c r="PK8" s="82"/>
      <c r="PL8" s="82"/>
      <c r="PM8" s="82"/>
      <c r="PN8" s="82"/>
      <c r="PO8" s="82"/>
      <c r="PP8" s="82"/>
      <c r="PQ8" s="82"/>
      <c r="PR8" s="82"/>
      <c r="PS8" s="82"/>
      <c r="PT8" s="82"/>
      <c r="PU8" s="82"/>
      <c r="PV8" s="82"/>
      <c r="PW8" s="82"/>
      <c r="PX8" s="82"/>
      <c r="PY8" s="82"/>
      <c r="PZ8" s="82"/>
      <c r="QA8" s="82"/>
      <c r="QB8" s="82"/>
      <c r="QC8" s="82"/>
      <c r="QD8" s="82"/>
      <c r="QE8" s="82"/>
      <c r="QF8" s="82"/>
      <c r="QG8" s="82"/>
      <c r="QH8" s="82"/>
      <c r="QI8" s="82"/>
      <c r="QJ8" s="82"/>
      <c r="QK8" s="82"/>
      <c r="QL8" s="82"/>
      <c r="QM8" s="82"/>
      <c r="QN8" s="82"/>
      <c r="QO8" s="82"/>
      <c r="QP8" s="82"/>
      <c r="QQ8" s="82"/>
      <c r="QR8" s="82"/>
      <c r="QS8" s="82"/>
      <c r="QT8" s="82"/>
      <c r="QU8" s="82"/>
      <c r="QV8" s="82"/>
      <c r="QW8" s="82"/>
      <c r="QX8" s="82"/>
      <c r="QY8" s="82"/>
      <c r="QZ8" s="82"/>
      <c r="RA8" s="82"/>
      <c r="RB8" s="82"/>
      <c r="RC8" s="82"/>
      <c r="RD8" s="82"/>
      <c r="RE8" s="82"/>
      <c r="RF8" s="82"/>
      <c r="RG8" s="82"/>
      <c r="RH8" s="82"/>
      <c r="RI8" s="82"/>
      <c r="RJ8" s="82"/>
      <c r="RK8" s="82"/>
      <c r="RL8" s="82"/>
      <c r="RM8" s="82"/>
      <c r="RN8" s="82"/>
      <c r="RO8" s="82"/>
      <c r="RP8" s="82"/>
      <c r="RQ8" s="82"/>
      <c r="RR8" s="82"/>
      <c r="RS8" s="82"/>
      <c r="RT8" s="82"/>
      <c r="RU8" s="82"/>
      <c r="RV8" s="82"/>
      <c r="RW8" s="82"/>
      <c r="RX8" s="82"/>
      <c r="RY8" s="82"/>
      <c r="RZ8" s="82"/>
      <c r="SA8" s="82"/>
      <c r="SB8" s="82"/>
      <c r="SC8" s="82"/>
      <c r="SD8" s="82"/>
      <c r="SE8" s="82"/>
      <c r="SF8" s="82"/>
      <c r="SG8" s="82"/>
      <c r="SH8" s="82"/>
      <c r="SI8" s="82"/>
      <c r="SJ8" s="82"/>
      <c r="SK8" s="82"/>
      <c r="SL8" s="82"/>
      <c r="SM8" s="82"/>
      <c r="SN8" s="82"/>
      <c r="SO8" s="82"/>
      <c r="SP8" s="82"/>
      <c r="SQ8" s="82"/>
      <c r="SR8" s="82"/>
      <c r="SS8" s="82"/>
      <c r="ST8" s="82"/>
      <c r="SU8" s="82"/>
      <c r="SV8" s="82"/>
      <c r="SW8" s="82"/>
      <c r="SX8" s="82"/>
      <c r="SY8" s="82"/>
      <c r="SZ8" s="82"/>
      <c r="TA8" s="82"/>
      <c r="TB8" s="82"/>
      <c r="TC8" s="82"/>
      <c r="TD8" s="82"/>
      <c r="TE8" s="82"/>
      <c r="TF8" s="82"/>
      <c r="TG8" s="82"/>
      <c r="TH8" s="82"/>
      <c r="TI8" s="82"/>
      <c r="TJ8" s="82"/>
      <c r="TK8" s="82"/>
      <c r="TL8" s="82"/>
      <c r="TM8" s="82"/>
      <c r="TN8" s="82"/>
      <c r="TO8" s="82"/>
      <c r="TP8" s="82"/>
      <c r="TQ8" s="82"/>
      <c r="TR8" s="82"/>
      <c r="TS8" s="82"/>
      <c r="TT8" s="82"/>
      <c r="TU8" s="82"/>
      <c r="TV8" s="82"/>
      <c r="TW8" s="82"/>
      <c r="TX8" s="82"/>
      <c r="TY8" s="82"/>
      <c r="TZ8" s="82"/>
      <c r="UA8" s="82"/>
      <c r="UB8" s="82"/>
      <c r="UC8" s="82"/>
      <c r="UD8" s="82"/>
      <c r="UE8" s="82"/>
      <c r="UF8" s="82"/>
      <c r="UG8" s="82"/>
      <c r="UH8" s="82"/>
      <c r="UI8" s="82"/>
      <c r="UJ8" s="82"/>
      <c r="UK8" s="82"/>
      <c r="UL8" s="82"/>
      <c r="UM8" s="82"/>
      <c r="UN8" s="82"/>
      <c r="UO8" s="82"/>
      <c r="UP8" s="82"/>
      <c r="UQ8" s="82"/>
      <c r="UR8" s="82"/>
      <c r="US8" s="82"/>
      <c r="UT8" s="82"/>
      <c r="UU8" s="82"/>
      <c r="UV8" s="82"/>
      <c r="UW8" s="82"/>
      <c r="UX8" s="82"/>
      <c r="UY8" s="82"/>
      <c r="UZ8" s="82"/>
      <c r="VA8" s="82"/>
      <c r="VB8" s="82"/>
      <c r="VC8" s="82"/>
      <c r="VD8" s="82"/>
      <c r="VE8" s="82"/>
      <c r="VF8" s="82"/>
      <c r="VG8" s="82"/>
      <c r="VH8" s="82"/>
      <c r="VI8" s="82"/>
      <c r="VJ8" s="82"/>
      <c r="VK8" s="82"/>
      <c r="VL8" s="82"/>
      <c r="VM8" s="82"/>
      <c r="VN8" s="82"/>
      <c r="VO8" s="82"/>
      <c r="VP8" s="82"/>
      <c r="VQ8" s="82"/>
      <c r="VR8" s="82"/>
      <c r="VS8" s="82"/>
      <c r="VT8" s="82"/>
      <c r="VU8" s="82"/>
      <c r="VV8" s="82"/>
      <c r="VW8" s="82"/>
      <c r="VX8" s="82"/>
      <c r="VY8" s="82"/>
      <c r="VZ8" s="82"/>
      <c r="WA8" s="82"/>
      <c r="WB8" s="82"/>
      <c r="WC8" s="82"/>
      <c r="WD8" s="82"/>
      <c r="WE8" s="82"/>
      <c r="WF8" s="82"/>
      <c r="WG8" s="82"/>
      <c r="WH8" s="82"/>
      <c r="WI8" s="82"/>
      <c r="WJ8" s="82"/>
      <c r="WK8" s="82"/>
      <c r="WL8" s="82"/>
      <c r="WM8" s="82"/>
      <c r="WN8" s="82"/>
      <c r="WO8" s="82"/>
      <c r="WP8" s="82"/>
      <c r="WQ8" s="82"/>
      <c r="WR8" s="82"/>
      <c r="WS8" s="82"/>
      <c r="WT8" s="82"/>
      <c r="WU8" s="82"/>
      <c r="WV8" s="82"/>
      <c r="WW8" s="82"/>
      <c r="WX8" s="82"/>
      <c r="WY8" s="82"/>
      <c r="WZ8" s="82"/>
      <c r="XA8" s="82"/>
      <c r="XB8" s="82"/>
      <c r="XC8" s="82"/>
      <c r="XD8" s="82"/>
      <c r="XE8" s="82"/>
      <c r="XF8" s="82"/>
      <c r="XG8" s="82"/>
      <c r="XH8" s="82"/>
      <c r="XI8" s="82"/>
      <c r="XJ8" s="82"/>
      <c r="XK8" s="82"/>
      <c r="XL8" s="82"/>
      <c r="XM8" s="82"/>
      <c r="XN8" s="82"/>
      <c r="XO8" s="82"/>
      <c r="XP8" s="82"/>
      <c r="XQ8" s="82"/>
      <c r="XR8" s="82"/>
      <c r="XS8" s="82"/>
      <c r="XT8" s="82"/>
      <c r="XU8" s="82"/>
      <c r="XV8" s="82"/>
      <c r="XW8" s="82"/>
      <c r="XX8" s="82"/>
      <c r="XY8" s="82"/>
      <c r="XZ8" s="82"/>
      <c r="YA8" s="82"/>
      <c r="YB8" s="82"/>
      <c r="YC8" s="82"/>
      <c r="YD8" s="82"/>
      <c r="YE8" s="82"/>
      <c r="YF8" s="82"/>
      <c r="YG8" s="82"/>
      <c r="YH8" s="82"/>
      <c r="YI8" s="82"/>
      <c r="YJ8" s="82"/>
      <c r="YK8" s="82"/>
      <c r="YL8" s="82"/>
      <c r="YM8" s="82"/>
      <c r="YN8" s="82"/>
      <c r="YO8" s="82"/>
      <c r="YP8" s="82"/>
      <c r="YQ8" s="82"/>
      <c r="YR8" s="82"/>
      <c r="YS8" s="82"/>
      <c r="YT8" s="82"/>
      <c r="YU8" s="82"/>
      <c r="YV8" s="82"/>
      <c r="YW8" s="82"/>
      <c r="YX8" s="82"/>
      <c r="YY8" s="82"/>
      <c r="YZ8" s="82"/>
      <c r="ZA8" s="82"/>
      <c r="ZB8" s="82"/>
      <c r="ZC8" s="82"/>
      <c r="ZD8" s="82"/>
      <c r="ZE8" s="82"/>
      <c r="ZF8" s="82"/>
      <c r="ZG8" s="82"/>
      <c r="ZH8" s="82"/>
      <c r="ZI8" s="82"/>
      <c r="ZJ8" s="82"/>
      <c r="ZK8" s="82"/>
      <c r="ZL8" s="82"/>
      <c r="ZM8" s="82"/>
      <c r="ZN8" s="82"/>
      <c r="ZO8" s="82"/>
      <c r="ZP8" s="82"/>
      <c r="ZQ8" s="82"/>
      <c r="ZR8" s="82"/>
      <c r="ZS8" s="82"/>
      <c r="ZT8" s="82"/>
      <c r="ZU8" s="82"/>
      <c r="ZV8" s="82"/>
      <c r="ZW8" s="82"/>
      <c r="ZX8" s="82"/>
      <c r="ZY8" s="82"/>
      <c r="ZZ8" s="82"/>
      <c r="AAA8" s="82"/>
      <c r="AAB8" s="82"/>
      <c r="AAC8" s="82"/>
      <c r="AAD8" s="82"/>
      <c r="AAE8" s="82"/>
      <c r="AAF8" s="82"/>
      <c r="AAG8" s="82"/>
      <c r="AAH8" s="82"/>
      <c r="AAI8" s="82"/>
      <c r="AAJ8" s="82"/>
      <c r="AAK8" s="82"/>
      <c r="AAL8" s="82"/>
      <c r="AAM8" s="82"/>
      <c r="AAN8" s="82"/>
      <c r="AAO8" s="82"/>
      <c r="AAP8" s="82"/>
      <c r="AAQ8" s="82"/>
      <c r="AAR8" s="82"/>
      <c r="AAS8" s="82"/>
      <c r="AAT8" s="82"/>
      <c r="AAU8" s="82"/>
      <c r="AAV8" s="82"/>
      <c r="AAW8" s="82"/>
      <c r="AAX8" s="82"/>
      <c r="AAY8" s="82"/>
      <c r="AAZ8" s="82"/>
      <c r="ABA8" s="82"/>
      <c r="ABB8" s="82"/>
      <c r="ABC8" s="82"/>
      <c r="ABD8" s="82"/>
      <c r="ABE8" s="82"/>
      <c r="ABF8" s="82"/>
      <c r="ABG8" s="82"/>
      <c r="ABH8" s="82"/>
      <c r="ABI8" s="82"/>
      <c r="ABJ8" s="82"/>
      <c r="ABK8" s="82"/>
      <c r="ABL8" s="82"/>
      <c r="ABM8" s="82"/>
      <c r="ABN8" s="82"/>
      <c r="ABO8" s="82"/>
      <c r="ABP8" s="82"/>
      <c r="ABQ8" s="82"/>
      <c r="ABR8" s="82"/>
      <c r="ABS8" s="82"/>
      <c r="ABT8" s="82"/>
      <c r="ABU8" s="82"/>
      <c r="ABV8" s="82"/>
      <c r="ABW8" s="82"/>
      <c r="ABX8" s="82"/>
      <c r="ABY8" s="82"/>
      <c r="ABZ8" s="82"/>
      <c r="ACA8" s="82"/>
      <c r="ACB8" s="82"/>
      <c r="ACC8" s="82"/>
      <c r="ACD8" s="82"/>
      <c r="ACE8" s="82"/>
      <c r="ACF8" s="82"/>
      <c r="ACG8" s="82"/>
      <c r="ACH8" s="82"/>
      <c r="ACI8" s="82"/>
      <c r="ACJ8" s="82"/>
      <c r="ACK8" s="82"/>
      <c r="ACL8" s="82"/>
      <c r="ACM8" s="82"/>
      <c r="ACN8" s="82"/>
      <c r="ACO8" s="82"/>
      <c r="ACP8" s="82"/>
      <c r="ACQ8" s="82"/>
      <c r="ACR8" s="82"/>
      <c r="ACS8" s="82"/>
      <c r="ACT8" s="82"/>
      <c r="ACU8" s="82"/>
      <c r="ACV8" s="82"/>
      <c r="ACW8" s="82"/>
      <c r="ACX8" s="82"/>
      <c r="ACY8" s="82"/>
      <c r="ACZ8" s="82"/>
      <c r="ADA8" s="82"/>
      <c r="ADB8" s="82"/>
      <c r="ADC8" s="82"/>
      <c r="ADD8" s="82"/>
      <c r="ADE8" s="82"/>
      <c r="ADF8" s="82"/>
      <c r="ADG8" s="82"/>
      <c r="ADH8" s="82"/>
      <c r="ADI8" s="82"/>
      <c r="ADJ8" s="82"/>
      <c r="ADK8" s="82"/>
      <c r="ADL8" s="82"/>
      <c r="ADM8" s="82"/>
      <c r="ADN8" s="82"/>
      <c r="ADO8" s="82"/>
      <c r="ADP8" s="82"/>
      <c r="ADQ8" s="82"/>
      <c r="ADR8" s="82"/>
      <c r="ADS8" s="82"/>
      <c r="ADT8" s="82"/>
      <c r="ADU8" s="82"/>
      <c r="ADV8" s="82"/>
      <c r="ADW8" s="82"/>
      <c r="ADX8" s="82"/>
      <c r="ADY8" s="82"/>
      <c r="ADZ8" s="82"/>
      <c r="AEA8" s="82"/>
      <c r="AEB8" s="82"/>
      <c r="AEC8" s="82"/>
      <c r="AED8" s="82"/>
      <c r="AEE8" s="82"/>
      <c r="AEF8" s="82"/>
      <c r="AEG8" s="82"/>
      <c r="AEH8" s="82"/>
      <c r="AEI8" s="82"/>
      <c r="AEJ8" s="82"/>
      <c r="AEK8" s="82"/>
      <c r="AEL8" s="82"/>
      <c r="AEM8" s="82"/>
      <c r="AEN8" s="82"/>
      <c r="AEO8" s="82"/>
      <c r="AEP8" s="82"/>
      <c r="AEQ8" s="82"/>
      <c r="AER8" s="82"/>
      <c r="AES8" s="82"/>
      <c r="AET8" s="82"/>
      <c r="AEU8" s="82"/>
      <c r="AEV8" s="82"/>
      <c r="AEW8" s="82"/>
      <c r="AEX8" s="82"/>
      <c r="AEY8" s="82"/>
      <c r="AEZ8" s="82"/>
      <c r="AFA8" s="82"/>
      <c r="AFB8" s="82"/>
      <c r="AFC8" s="82"/>
      <c r="AFD8" s="82"/>
      <c r="AFE8" s="82"/>
      <c r="AFF8" s="82"/>
      <c r="AFG8" s="82"/>
      <c r="AFH8" s="82"/>
      <c r="AFI8" s="82"/>
      <c r="AFJ8" s="82"/>
      <c r="AFK8" s="82"/>
      <c r="AFL8" s="82"/>
      <c r="AFM8" s="82"/>
      <c r="AFN8" s="82"/>
      <c r="AFO8" s="82"/>
      <c r="AFP8" s="82"/>
      <c r="AFQ8" s="82"/>
      <c r="AFR8" s="82"/>
      <c r="AFS8" s="82"/>
      <c r="AFT8" s="82"/>
      <c r="AFU8" s="82"/>
      <c r="AFV8" s="82"/>
      <c r="AFW8" s="82"/>
      <c r="AFX8" s="82"/>
      <c r="AFY8" s="82"/>
      <c r="AFZ8" s="82"/>
      <c r="AGA8" s="82"/>
      <c r="AGB8" s="82"/>
      <c r="AGC8" s="82"/>
      <c r="AGD8" s="82"/>
      <c r="AGE8" s="82"/>
      <c r="AGF8" s="82"/>
      <c r="AGG8" s="82"/>
      <c r="AGH8" s="82"/>
      <c r="AGI8" s="82"/>
      <c r="AGJ8" s="82"/>
      <c r="AGK8" s="82"/>
      <c r="AGL8" s="82"/>
      <c r="AGM8" s="82"/>
      <c r="AGN8" s="82"/>
      <c r="AGO8" s="82"/>
      <c r="AGP8" s="82"/>
      <c r="AGQ8" s="82"/>
      <c r="AGR8" s="82"/>
      <c r="AGS8" s="82"/>
      <c r="AGT8" s="82"/>
      <c r="AGU8" s="82"/>
      <c r="AGV8" s="82"/>
      <c r="AGW8" s="82"/>
      <c r="AGX8" s="82"/>
      <c r="AGY8" s="82"/>
      <c r="AGZ8" s="82"/>
      <c r="AHA8" s="82"/>
      <c r="AHB8" s="82"/>
      <c r="AHC8" s="82"/>
      <c r="AHD8" s="82"/>
      <c r="AHE8" s="82"/>
      <c r="AHF8" s="82"/>
      <c r="AHG8" s="82"/>
      <c r="AHH8" s="82"/>
      <c r="AHI8" s="82"/>
      <c r="AHJ8" s="82"/>
      <c r="AHK8" s="82"/>
      <c r="AHL8" s="82"/>
      <c r="AHM8" s="82"/>
      <c r="AHN8" s="82"/>
      <c r="AHO8" s="82"/>
      <c r="AHP8" s="82"/>
      <c r="AHQ8" s="82"/>
      <c r="AHR8" s="82"/>
      <c r="AHS8" s="82"/>
      <c r="AHT8" s="82"/>
      <c r="AHU8" s="82"/>
      <c r="AHV8" s="82"/>
      <c r="AHW8" s="82"/>
      <c r="AHX8" s="82"/>
      <c r="AHY8" s="82"/>
      <c r="AHZ8" s="82"/>
      <c r="AIA8" s="82"/>
      <c r="AIB8" s="82"/>
      <c r="AIC8" s="82"/>
      <c r="AID8" s="82"/>
      <c r="AIE8" s="82"/>
      <c r="AIF8" s="82"/>
      <c r="AIG8" s="82"/>
      <c r="AIH8" s="82"/>
      <c r="AII8" s="82"/>
      <c r="AIJ8" s="82"/>
      <c r="AIK8" s="82"/>
      <c r="AIL8" s="82"/>
      <c r="AIM8" s="82"/>
      <c r="AIN8" s="82"/>
      <c r="AIO8" s="82"/>
      <c r="AIP8" s="82"/>
      <c r="AIQ8" s="82"/>
      <c r="AIR8" s="82"/>
      <c r="AIS8" s="82"/>
      <c r="AIT8" s="82"/>
      <c r="AIU8" s="82"/>
      <c r="AIV8" s="82"/>
      <c r="AIW8" s="82"/>
      <c r="AIX8" s="82"/>
      <c r="AIY8" s="82"/>
      <c r="AIZ8" s="82"/>
      <c r="AJA8" s="82"/>
      <c r="AJB8" s="82"/>
      <c r="AJC8" s="82"/>
      <c r="AJD8" s="82"/>
      <c r="AJE8" s="82"/>
      <c r="AJF8" s="82"/>
      <c r="AJG8" s="82"/>
      <c r="AJH8" s="82"/>
      <c r="AJI8" s="82"/>
      <c r="AJJ8" s="82"/>
      <c r="AJK8" s="82"/>
      <c r="AJL8" s="82"/>
      <c r="AJM8" s="82"/>
      <c r="AJN8" s="82"/>
      <c r="AJO8" s="82"/>
      <c r="AJP8" s="82"/>
      <c r="AJQ8" s="82"/>
      <c r="AJR8" s="82"/>
      <c r="AJS8" s="82"/>
      <c r="AJT8" s="82"/>
      <c r="AJU8" s="82"/>
      <c r="AJV8" s="82"/>
      <c r="AJW8" s="82"/>
      <c r="AJX8" s="82"/>
      <c r="AJY8" s="82"/>
      <c r="AJZ8" s="82"/>
      <c r="AKA8" s="82"/>
      <c r="AKB8" s="82"/>
      <c r="AKC8" s="82"/>
      <c r="AKD8" s="82"/>
      <c r="AKE8" s="82"/>
      <c r="AKF8" s="82"/>
      <c r="AKG8" s="82"/>
      <c r="AKH8" s="82"/>
      <c r="AKI8" s="82"/>
      <c r="AKJ8" s="82"/>
      <c r="AKK8" s="82"/>
      <c r="AKL8" s="82"/>
      <c r="AKM8" s="82"/>
      <c r="AKN8" s="82"/>
      <c r="AKO8" s="82"/>
      <c r="AKP8" s="82"/>
      <c r="AKQ8" s="82"/>
      <c r="AKR8" s="82"/>
      <c r="AKS8" s="82"/>
      <c r="AKT8" s="82"/>
      <c r="AKU8" s="82"/>
      <c r="AKV8" s="82"/>
      <c r="AKW8" s="82"/>
      <c r="AKX8" s="82"/>
      <c r="AKY8" s="82"/>
      <c r="AKZ8" s="82"/>
      <c r="ALA8" s="82"/>
      <c r="ALB8" s="82"/>
      <c r="ALC8" s="82"/>
      <c r="ALD8" s="82"/>
      <c r="ALE8" s="82"/>
      <c r="ALF8" s="82"/>
      <c r="ALG8" s="82"/>
      <c r="ALH8" s="82"/>
      <c r="ALI8" s="82"/>
      <c r="ALJ8" s="82"/>
      <c r="ALK8" s="82"/>
      <c r="ALL8" s="82"/>
      <c r="ALM8" s="82"/>
      <c r="ALN8" s="82"/>
      <c r="ALO8" s="82"/>
      <c r="ALP8" s="82"/>
      <c r="ALQ8" s="82"/>
      <c r="ALR8" s="82"/>
      <c r="ALS8" s="82"/>
      <c r="ALT8" s="82"/>
      <c r="ALU8" s="82"/>
      <c r="ALV8" s="82"/>
      <c r="ALW8" s="82"/>
      <c r="ALX8" s="82"/>
      <c r="ALY8" s="82"/>
      <c r="ALZ8" s="82"/>
      <c r="AMA8" s="82"/>
      <c r="AMB8" s="82"/>
      <c r="AMC8" s="82"/>
      <c r="AMD8" s="82"/>
      <c r="AME8" s="82"/>
      <c r="AMF8" s="82"/>
      <c r="AMG8" s="82"/>
      <c r="AMH8" s="82"/>
      <c r="AMI8" s="82"/>
      <c r="AMJ8" s="82"/>
    </row>
    <row r="9" spans="1:1024" x14ac:dyDescent="0.25">
      <c r="A9" s="54"/>
      <c r="B9" s="55"/>
      <c r="C9" s="56"/>
      <c r="D9" s="57"/>
      <c r="E9" s="58"/>
      <c r="F9" s="58"/>
      <c r="I9" s="137"/>
    </row>
    <row r="10" spans="1:1024" ht="26.4" x14ac:dyDescent="0.25">
      <c r="A10" s="54"/>
      <c r="B10" s="55" t="s">
        <v>242</v>
      </c>
      <c r="C10" s="56">
        <f>2.5*3.6</f>
        <v>9</v>
      </c>
      <c r="D10" s="57" t="s">
        <v>42</v>
      </c>
      <c r="E10" s="197">
        <f>60+55+10+25+60+25</f>
        <v>235</v>
      </c>
      <c r="F10" s="58">
        <f t="shared" ref="F10:F15" si="2">IF(C10&gt;0,C10*E10,"")</f>
        <v>2115</v>
      </c>
      <c r="I10" s="137"/>
    </row>
    <row r="11" spans="1:1024" x14ac:dyDescent="0.25">
      <c r="A11" s="54"/>
      <c r="B11" s="192" t="s">
        <v>114</v>
      </c>
      <c r="C11" s="56">
        <f>3.6*2+2.5</f>
        <v>9.6999999999999993</v>
      </c>
      <c r="D11" s="57" t="s">
        <v>41</v>
      </c>
      <c r="E11" s="58">
        <v>50</v>
      </c>
      <c r="F11" s="58">
        <f t="shared" si="2"/>
        <v>484.99999999999994</v>
      </c>
      <c r="I11" s="137"/>
    </row>
    <row r="12" spans="1:1024" x14ac:dyDescent="0.25">
      <c r="A12" s="54"/>
      <c r="B12" s="192"/>
      <c r="C12" s="56"/>
      <c r="D12" s="57"/>
      <c r="E12" s="58"/>
      <c r="F12" s="58"/>
      <c r="I12" s="137"/>
    </row>
    <row r="13" spans="1:1024" ht="26.4" x14ac:dyDescent="0.25">
      <c r="A13" s="54"/>
      <c r="B13" s="219" t="s">
        <v>256</v>
      </c>
      <c r="C13" s="56">
        <v>1</v>
      </c>
      <c r="D13" s="57" t="s">
        <v>50</v>
      </c>
      <c r="E13" s="58">
        <v>5000</v>
      </c>
      <c r="F13" s="58">
        <f t="shared" si="2"/>
        <v>5000</v>
      </c>
      <c r="I13" s="137"/>
    </row>
    <row r="14" spans="1:1024" x14ac:dyDescent="0.25">
      <c r="A14" s="54"/>
      <c r="B14" s="192"/>
      <c r="C14" s="56"/>
      <c r="D14" s="57"/>
      <c r="E14" s="58"/>
      <c r="F14" s="58"/>
      <c r="I14" s="137"/>
    </row>
    <row r="15" spans="1:1024" ht="39.6" x14ac:dyDescent="0.25">
      <c r="A15" s="54"/>
      <c r="B15" s="219" t="s">
        <v>245</v>
      </c>
      <c r="C15" s="56">
        <v>1</v>
      </c>
      <c r="D15" s="57" t="s">
        <v>50</v>
      </c>
      <c r="E15" s="58">
        <v>7500</v>
      </c>
      <c r="F15" s="58">
        <f t="shared" si="2"/>
        <v>7500</v>
      </c>
      <c r="I15" s="137"/>
    </row>
    <row r="16" spans="1:1024" x14ac:dyDescent="0.25">
      <c r="A16" s="54"/>
      <c r="B16" s="55"/>
      <c r="C16" s="56"/>
      <c r="D16" s="57"/>
      <c r="E16" s="58"/>
      <c r="F16" s="58"/>
      <c r="Q16" s="114"/>
      <c r="R16" s="114"/>
      <c r="T16" s="136"/>
      <c r="U16" s="114"/>
      <c r="V16" s="114"/>
      <c r="Z16" s="114"/>
    </row>
    <row r="17" spans="1:34" ht="13.8" thickBot="1" x14ac:dyDescent="0.3">
      <c r="A17" s="54"/>
      <c r="B17" s="65" t="s">
        <v>137</v>
      </c>
      <c r="C17" s="61"/>
      <c r="D17" s="57"/>
      <c r="E17" s="60"/>
      <c r="F17" s="66">
        <f>SUM(F4:F16)</f>
        <v>23982</v>
      </c>
      <c r="Q17" s="114"/>
      <c r="R17" s="114"/>
      <c r="T17" s="136"/>
      <c r="U17" s="114"/>
      <c r="V17" s="114"/>
      <c r="AD17" s="114"/>
      <c r="AH17" s="114"/>
    </row>
    <row r="18" spans="1:34" ht="14.4" thickTop="1" thickBot="1" x14ac:dyDescent="0.3">
      <c r="A18" s="70"/>
      <c r="B18" s="71"/>
      <c r="C18" s="72"/>
      <c r="D18" s="73"/>
      <c r="E18" s="66"/>
      <c r="F18" s="66"/>
    </row>
  </sheetData>
  <pageMargins left="0.59027777777777801" right="0.196527777777778" top="0.98333333333333295" bottom="0.98402777777777795" header="0.51180555555555496" footer="0.51180555555555496"/>
  <pageSetup paperSize="9" firstPageNumber="0" orientation="portrait" r:id="rId1"/>
  <headerFooter>
    <oddHeader>&amp;CFeasibility Costs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20</vt:i4>
      </vt:variant>
    </vt:vector>
  </HeadingPairs>
  <TitlesOfParts>
    <vt:vector size="45" baseType="lpstr">
      <vt:lpstr>SUMMARY </vt:lpstr>
      <vt:lpstr>Dems and Alts</vt:lpstr>
      <vt:lpstr>Repairs</vt:lpstr>
      <vt:lpstr>substructure</vt:lpstr>
      <vt:lpstr>frame</vt:lpstr>
      <vt:lpstr>upper floors</vt:lpstr>
      <vt:lpstr>roof</vt:lpstr>
      <vt:lpstr>staircases</vt:lpstr>
      <vt:lpstr>ext walls</vt:lpstr>
      <vt:lpstr>wdws &amp; extl drs</vt:lpstr>
      <vt:lpstr>int walls</vt:lpstr>
      <vt:lpstr>Int doors</vt:lpstr>
      <vt:lpstr>wall finishes</vt:lpstr>
      <vt:lpstr>floor finishes</vt:lpstr>
      <vt:lpstr>ceiling finishes</vt:lpstr>
      <vt:lpstr>Decorations</vt:lpstr>
      <vt:lpstr>fittings</vt:lpstr>
      <vt:lpstr>sanitary</vt:lpstr>
      <vt:lpstr>mech</vt:lpstr>
      <vt:lpstr>elec</vt:lpstr>
      <vt:lpstr>Lifts</vt:lpstr>
      <vt:lpstr>bwic</vt:lpstr>
      <vt:lpstr>Incoming Services</vt:lpstr>
      <vt:lpstr>Ext Wks</vt:lpstr>
      <vt:lpstr>Access</vt:lpstr>
      <vt:lpstr>'ceiling finishes'!Print_Area</vt:lpstr>
      <vt:lpstr>'Dems and Alts'!Print_Area</vt:lpstr>
      <vt:lpstr>elec!Print_Area</vt:lpstr>
      <vt:lpstr>'ext walls'!Print_Area</vt:lpstr>
      <vt:lpstr>'Ext Wks'!Print_Area</vt:lpstr>
      <vt:lpstr>fittings!Print_Area</vt:lpstr>
      <vt:lpstr>'floor finishes'!Print_Area</vt:lpstr>
      <vt:lpstr>frame!Print_Area</vt:lpstr>
      <vt:lpstr>'Int doors'!Print_Area</vt:lpstr>
      <vt:lpstr>'int walls'!Print_Area</vt:lpstr>
      <vt:lpstr>mech!Print_Area</vt:lpstr>
      <vt:lpstr>Repairs!Print_Area</vt:lpstr>
      <vt:lpstr>roof!Print_Area</vt:lpstr>
      <vt:lpstr>sanitary!Print_Area</vt:lpstr>
      <vt:lpstr>staircases!Print_Area</vt:lpstr>
      <vt:lpstr>substructure!Print_Area</vt:lpstr>
      <vt:lpstr>'SUMMARY '!Print_Area</vt:lpstr>
      <vt:lpstr>'upper floors'!Print_Area</vt:lpstr>
      <vt:lpstr>'wall finishes'!Print_Area</vt:lpstr>
      <vt:lpstr>'wdws &amp; extl drs'!Print_Area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Cummins</dc:creator>
  <dc:description/>
  <cp:lastModifiedBy>Steve Peet</cp:lastModifiedBy>
  <cp:revision>38</cp:revision>
  <cp:lastPrinted>2022-05-30T08:47:04Z</cp:lastPrinted>
  <dcterms:created xsi:type="dcterms:W3CDTF">2000-11-12T18:33:24Z</dcterms:created>
  <dcterms:modified xsi:type="dcterms:W3CDTF">2024-05-22T14:05:02Z</dcterms:modified>
  <dc:language>en-GB</dc:language>
</cp:coreProperties>
</file>